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Б_НАСОСНОЕ\ПОСТАВКА\PURITY\Прайс\"/>
    </mc:Choice>
  </mc:AlternateContent>
  <bookViews>
    <workbookView xWindow="0" yWindow="0" windowWidth="28800" windowHeight="12330" tabRatio="809"/>
  </bookViews>
  <sheets>
    <sheet name="PSTG" sheetId="2" r:id="rId1"/>
    <sheet name="PT" sheetId="3" r:id="rId2"/>
    <sheet name="PTD" sheetId="4" r:id="rId3"/>
    <sheet name="PVT(S)" sheetId="6" r:id="rId4"/>
    <sheet name="PZ" sheetId="7" r:id="rId5"/>
    <sheet name="PXZ" sheetId="10" r:id="rId6"/>
    <sheet name="PZWM" sheetId="11" r:id="rId7"/>
    <sheet name="WQ-A, WQ" sheetId="12" r:id="rId8"/>
    <sheet name="WQ-GQ, WQV" sheetId="14" r:id="rId9"/>
    <sheet name="PST4" sheetId="13" r:id="rId10"/>
    <sheet name="PS(M)" sheetId="5" r:id="rId11"/>
    <sheet name="PC" sheetId="8" r:id="rId12"/>
    <sheet name="P2C" sheetId="9" r:id="rId13"/>
    <sheet name="PSTF" sheetId="15" r:id="rId14"/>
    <sheet name="АТМ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4" l="1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39" i="12" l="1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3" i="5"/>
  <c r="O199" i="5"/>
  <c r="O198" i="5"/>
  <c r="O197" i="5"/>
  <c r="O196" i="5"/>
  <c r="O195" i="5"/>
  <c r="O194" i="5"/>
  <c r="O193" i="5"/>
  <c r="O192" i="5"/>
  <c r="O191" i="5"/>
  <c r="O190" i="5"/>
  <c r="O189" i="5"/>
  <c r="O181" i="5"/>
  <c r="O180" i="5"/>
  <c r="O179" i="5"/>
  <c r="O178" i="5"/>
  <c r="O177" i="5"/>
  <c r="O176" i="5"/>
  <c r="O175" i="5"/>
  <c r="O174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0" i="5"/>
  <c r="O149" i="5"/>
  <c r="O148" i="5"/>
  <c r="O147" i="5"/>
  <c r="O146" i="5"/>
  <c r="O145" i="5"/>
  <c r="O144" i="5"/>
  <c r="O143" i="5"/>
  <c r="O137" i="5"/>
  <c r="O136" i="5"/>
  <c r="O135" i="5"/>
  <c r="O134" i="5"/>
  <c r="O133" i="5"/>
  <c r="O132" i="5"/>
  <c r="O131" i="5"/>
  <c r="O130" i="5"/>
  <c r="O129" i="5"/>
  <c r="O121" i="5"/>
  <c r="O120" i="5"/>
  <c r="O119" i="5"/>
  <c r="O118" i="5"/>
  <c r="O117" i="5"/>
  <c r="O116" i="5"/>
  <c r="O107" i="5"/>
  <c r="O106" i="5"/>
  <c r="O105" i="5"/>
  <c r="O104" i="5"/>
  <c r="O103" i="5"/>
  <c r="O102" i="5"/>
  <c r="O101" i="5"/>
  <c r="O95" i="5"/>
  <c r="O94" i="5"/>
  <c r="O93" i="5"/>
  <c r="O92" i="5"/>
  <c r="O91" i="5"/>
  <c r="O90" i="5"/>
  <c r="O89" i="5"/>
  <c r="O88" i="5"/>
  <c r="O87" i="5"/>
  <c r="O86" i="5"/>
  <c r="O85" i="5"/>
  <c r="D80" i="5"/>
  <c r="O79" i="5"/>
  <c r="O78" i="5"/>
  <c r="O77" i="5"/>
  <c r="D77" i="5"/>
  <c r="O76" i="5"/>
  <c r="O75" i="5"/>
  <c r="D75" i="5"/>
  <c r="O74" i="5"/>
  <c r="O73" i="5"/>
  <c r="O72" i="5"/>
  <c r="O71" i="5"/>
  <c r="D71" i="5"/>
  <c r="O70" i="5"/>
  <c r="O69" i="5"/>
  <c r="D69" i="5"/>
  <c r="O68" i="5"/>
  <c r="O67" i="5"/>
  <c r="O62" i="5"/>
  <c r="O61" i="5"/>
  <c r="D61" i="5"/>
  <c r="O60" i="5"/>
  <c r="O59" i="5"/>
  <c r="O58" i="5"/>
  <c r="O57" i="5"/>
  <c r="D57" i="5"/>
  <c r="O56" i="5"/>
  <c r="D56" i="5"/>
  <c r="O55" i="5"/>
  <c r="O54" i="5"/>
  <c r="O53" i="5"/>
  <c r="D53" i="5"/>
  <c r="O52" i="5"/>
  <c r="O51" i="5"/>
  <c r="D46" i="5"/>
  <c r="O45" i="5"/>
  <c r="D45" i="5"/>
  <c r="O44" i="5"/>
  <c r="O43" i="5"/>
  <c r="O42" i="5"/>
  <c r="D42" i="5"/>
  <c r="O41" i="5"/>
  <c r="D41" i="5"/>
  <c r="O40" i="5"/>
  <c r="O39" i="5"/>
  <c r="O38" i="5"/>
  <c r="D38" i="5"/>
  <c r="O37" i="5"/>
  <c r="O36" i="5"/>
  <c r="O35" i="5"/>
  <c r="D35" i="5"/>
  <c r="O34" i="5"/>
  <c r="O33" i="5"/>
  <c r="O32" i="5"/>
  <c r="O31" i="5"/>
  <c r="D31" i="5"/>
  <c r="O30" i="5"/>
  <c r="O29" i="5"/>
  <c r="O28" i="5"/>
  <c r="O27" i="5"/>
  <c r="D27" i="5"/>
  <c r="O26" i="5"/>
  <c r="O25" i="5"/>
  <c r="O24" i="5"/>
  <c r="D24" i="5"/>
  <c r="O23" i="5"/>
  <c r="O22" i="5"/>
  <c r="O21" i="5"/>
  <c r="D21" i="5"/>
  <c r="O20" i="5"/>
  <c r="O19" i="5"/>
  <c r="O18" i="5"/>
  <c r="O17" i="5"/>
  <c r="D17" i="5"/>
  <c r="O16" i="5"/>
  <c r="O15" i="5"/>
  <c r="O14" i="5"/>
  <c r="D14" i="5"/>
  <c r="D13" i="5"/>
  <c r="D11" i="5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7" i="4"/>
  <c r="O16" i="4"/>
  <c r="O15" i="4"/>
  <c r="O14" i="4"/>
  <c r="O13" i="4"/>
  <c r="O12" i="4"/>
  <c r="O99" i="2" l="1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</calcChain>
</file>

<file path=xl/sharedStrings.xml><?xml version="1.0" encoding="utf-8"?>
<sst xmlns="http://schemas.openxmlformats.org/spreadsheetml/2006/main" count="4622" uniqueCount="1413">
  <si>
    <t>(EN733)</t>
  </si>
  <si>
    <t>Модель</t>
  </si>
  <si>
    <t>Мощность двигателя</t>
  </si>
  <si>
    <t>Характеристики</t>
  </si>
  <si>
    <t>Патрубки</t>
  </si>
  <si>
    <t>Прайс в USD</t>
  </si>
  <si>
    <t>Рабочее колесо</t>
  </si>
  <si>
    <t>n</t>
  </si>
  <si>
    <t>Вес</t>
  </si>
  <si>
    <t>Объем</t>
  </si>
  <si>
    <t>Q</t>
  </si>
  <si>
    <t>H</t>
  </si>
  <si>
    <t>кВт</t>
  </si>
  <si>
    <t>л.с.</t>
  </si>
  <si>
    <t>м³/ч</t>
  </si>
  <si>
    <t>м</t>
  </si>
  <si>
    <t>мм</t>
  </si>
  <si>
    <t>1-фаза</t>
  </si>
  <si>
    <t>3-фазы</t>
  </si>
  <si>
    <t>об/мин</t>
  </si>
  <si>
    <t>кг</t>
  </si>
  <si>
    <t>м³</t>
  </si>
  <si>
    <t>50×32</t>
  </si>
  <si>
    <t>Нерж. 304</t>
  </si>
  <si>
    <t>Чугун</t>
  </si>
  <si>
    <t>65×40</t>
  </si>
  <si>
    <t>65×50</t>
  </si>
  <si>
    <t>80×65</t>
  </si>
  <si>
    <t>по запросу</t>
  </si>
  <si>
    <t>100×80</t>
  </si>
  <si>
    <t>125×100</t>
  </si>
  <si>
    <t>150×125</t>
  </si>
  <si>
    <t>Корпус насоса</t>
  </si>
  <si>
    <t>Чугун с антикоррозийным покрытием</t>
  </si>
  <si>
    <t>Вал</t>
  </si>
  <si>
    <t>Уплотнение</t>
  </si>
  <si>
    <t>Фланцы</t>
  </si>
  <si>
    <t>Оцинкованные ответные фланцы с болтами, гайками и прокладками входят в комплет поставки насоса</t>
  </si>
  <si>
    <t>Подключение</t>
  </si>
  <si>
    <t xml:space="preserve">Напряжение 400В для двигателей &lt; 4кВт и 400/690В для двиг.≥ 4 кВт </t>
  </si>
  <si>
    <t>PST</t>
  </si>
  <si>
    <t>PT</t>
  </si>
  <si>
    <t>m</t>
  </si>
  <si>
    <t>N</t>
  </si>
  <si>
    <t>50×50</t>
  </si>
  <si>
    <t>65×65</t>
  </si>
  <si>
    <t>80×80</t>
  </si>
  <si>
    <t>100×100</t>
  </si>
  <si>
    <t>PTD</t>
  </si>
  <si>
    <t>м (G)</t>
  </si>
  <si>
    <t>32X32</t>
  </si>
  <si>
    <t>32×32</t>
  </si>
  <si>
    <t>40×40</t>
  </si>
  <si>
    <t>не доступен</t>
  </si>
  <si>
    <t>125×125</t>
  </si>
  <si>
    <t>150×150</t>
  </si>
  <si>
    <t>200×200</t>
  </si>
  <si>
    <t>250×250</t>
  </si>
  <si>
    <t>300×300</t>
  </si>
  <si>
    <t>Максимальное давление</t>
  </si>
  <si>
    <t>16 бар</t>
  </si>
  <si>
    <r>
      <t>Консольные насосы серии - PS</t>
    </r>
    <r>
      <rPr>
        <b/>
        <sz val="14"/>
        <rFont val="Calibri"/>
        <family val="2"/>
        <charset val="204"/>
      </rPr>
      <t xml:space="preserve"> (голый вал), </t>
    </r>
    <r>
      <rPr>
        <b/>
        <sz val="18"/>
        <rFont val="Calibri"/>
        <family val="2"/>
        <charset val="204"/>
      </rPr>
      <t>PSM</t>
    </r>
    <r>
      <rPr>
        <b/>
        <sz val="14"/>
        <rFont val="Calibri"/>
        <family val="2"/>
        <charset val="204"/>
      </rPr>
      <t xml:space="preserve"> (на раме с двигателем)</t>
    </r>
  </si>
  <si>
    <t>PS</t>
  </si>
  <si>
    <t>PSM</t>
  </si>
  <si>
    <t>PS 32-160/15</t>
  </si>
  <si>
    <t>50x32</t>
  </si>
  <si>
    <t>Нерж.304</t>
  </si>
  <si>
    <t>PS 32-160/22</t>
  </si>
  <si>
    <t>PS 32-160/30</t>
  </si>
  <si>
    <t>PS 32-200/30</t>
  </si>
  <si>
    <t>PS 32-200/40</t>
  </si>
  <si>
    <t>PS 32-250/55</t>
  </si>
  <si>
    <t>PS 32-250/75</t>
  </si>
  <si>
    <t>PS 32-250/92</t>
  </si>
  <si>
    <t>PS 32-250/110</t>
  </si>
  <si>
    <t>PS 32-250/150</t>
  </si>
  <si>
    <t>PS 40-160/30</t>
  </si>
  <si>
    <t>65x40</t>
  </si>
  <si>
    <t>PS 40-160/40</t>
  </si>
  <si>
    <t>PS 40-200/55</t>
  </si>
  <si>
    <t>PS 40-200/75</t>
  </si>
  <si>
    <t>PS 40-250/92</t>
  </si>
  <si>
    <t>PS 40-250/110</t>
  </si>
  <si>
    <t>PS 40-250/150</t>
  </si>
  <si>
    <t>PS 40-250/185</t>
  </si>
  <si>
    <t>PS 40-315/185</t>
  </si>
  <si>
    <t>PS 40-315/220</t>
  </si>
  <si>
    <t>PS 40-315/300</t>
  </si>
  <si>
    <t>PS 40-315/370</t>
  </si>
  <si>
    <t>PS 40-315/450</t>
  </si>
  <si>
    <t>PS 50-125/22</t>
  </si>
  <si>
    <t>65x50</t>
  </si>
  <si>
    <t>PS 50-125/30</t>
  </si>
  <si>
    <t>PS 50-125/40</t>
  </si>
  <si>
    <t>PS 50-160/55</t>
  </si>
  <si>
    <t>PS 50-160/75</t>
  </si>
  <si>
    <t>PS 50-200/92</t>
  </si>
  <si>
    <t>PS 50-200/110</t>
  </si>
  <si>
    <t>PS 50-200/150</t>
  </si>
  <si>
    <t>PS 50-250/150</t>
  </si>
  <si>
    <t>PS 50-250/185</t>
  </si>
  <si>
    <t>PS 50-250/220</t>
  </si>
  <si>
    <t>PS 50-250/300</t>
  </si>
  <si>
    <t>PS 50-315/300</t>
  </si>
  <si>
    <t>PS 50-315/370</t>
  </si>
  <si>
    <t>PS 50-315/450</t>
  </si>
  <si>
    <t>PS 50-315/550</t>
  </si>
  <si>
    <t>PS 50-315/750</t>
  </si>
  <si>
    <t>PS 65-125/40</t>
  </si>
  <si>
    <t>80x65</t>
  </si>
  <si>
    <t>PS 65-125/55</t>
  </si>
  <si>
    <t>PS 65-125/75</t>
  </si>
  <si>
    <t>PS 65-160/92</t>
  </si>
  <si>
    <t>PS 65-160/110</t>
  </si>
  <si>
    <t>PS 65-160/150</t>
  </si>
  <si>
    <t>PS 65-200/150</t>
  </si>
  <si>
    <t>PS 65-200/185</t>
  </si>
  <si>
    <t>PS 65-200/220</t>
  </si>
  <si>
    <t>PS 65-250/220</t>
  </si>
  <si>
    <t>PS 65-250/300</t>
  </si>
  <si>
    <t>PS 65-250/370</t>
  </si>
  <si>
    <t>PS 65-315/450</t>
  </si>
  <si>
    <t>PS 65-315/550</t>
  </si>
  <si>
    <t>PS 65-315/750</t>
  </si>
  <si>
    <t>PS 65-315/900</t>
  </si>
  <si>
    <t>PS 80-125/40</t>
  </si>
  <si>
    <t>100x80</t>
  </si>
  <si>
    <t>PS 80-125/55</t>
  </si>
  <si>
    <t>PS 80-125/75</t>
  </si>
  <si>
    <t>PS 80-160/110</t>
  </si>
  <si>
    <t>PS 80-160/150</t>
  </si>
  <si>
    <t>PS 80-160/185</t>
  </si>
  <si>
    <t>PS 80-160/220</t>
  </si>
  <si>
    <t>PS 80-200/220</t>
  </si>
  <si>
    <t>PS 80-200/300</t>
  </si>
  <si>
    <t>PS 80-250/370</t>
  </si>
  <si>
    <t>PS 80-250/450</t>
  </si>
  <si>
    <t>PS 80-250/550</t>
  </si>
  <si>
    <t>PS 80-250/750</t>
  </si>
  <si>
    <t>PS 80-315/450</t>
  </si>
  <si>
    <t>PS 80-315/550</t>
  </si>
  <si>
    <t>PS 80-315/750</t>
  </si>
  <si>
    <t>PS 80-315/900</t>
  </si>
  <si>
    <t>PS 80-315/1100</t>
  </si>
  <si>
    <t>PS 100-160/150</t>
  </si>
  <si>
    <t>125x100</t>
  </si>
  <si>
    <t>PS 100-160/185</t>
  </si>
  <si>
    <t>PS 100-160/220</t>
  </si>
  <si>
    <t>PS 100-200/220</t>
  </si>
  <si>
    <t>PS 100-200/300</t>
  </si>
  <si>
    <t>PS 100-200/370</t>
  </si>
  <si>
    <t>PS 100-200/450</t>
  </si>
  <si>
    <t>PS 100-250/450</t>
  </si>
  <si>
    <t>PS 100-250/550</t>
  </si>
  <si>
    <t>PS 100-250/750</t>
  </si>
  <si>
    <t>PS 100-250/900</t>
  </si>
  <si>
    <t>PS 100-315/750</t>
  </si>
  <si>
    <t>PS 100-315/900</t>
  </si>
  <si>
    <t>PS 100-315/1100</t>
  </si>
  <si>
    <t>PS 100-315/1320</t>
  </si>
  <si>
    <t>PS 100-315/1600</t>
  </si>
  <si>
    <t>PS 125-200/450</t>
  </si>
  <si>
    <t>150x125</t>
  </si>
  <si>
    <t>PS 125-200/550</t>
  </si>
  <si>
    <t>PS 125-200/750</t>
  </si>
  <si>
    <t>PS 125-250/550</t>
  </si>
  <si>
    <t>PS 125-250/750</t>
  </si>
  <si>
    <t>PS 125-250/900</t>
  </si>
  <si>
    <t>PS 125-250/1100</t>
  </si>
  <si>
    <t>PS 125-250H/900</t>
  </si>
  <si>
    <t>PS 125-250H/1100</t>
  </si>
  <si>
    <t>PS 125-250H/1320</t>
  </si>
  <si>
    <t>PS 125-250H/1600</t>
  </si>
  <si>
    <t>PS 125-315/1320</t>
  </si>
  <si>
    <t>PS 125-315/1600</t>
  </si>
  <si>
    <t>PS 125-315/1850</t>
  </si>
  <si>
    <t>PS 125-315/2000</t>
  </si>
  <si>
    <t>PS 150-200/750</t>
  </si>
  <si>
    <t>200x150</t>
  </si>
  <si>
    <t>PS 150-200/900</t>
  </si>
  <si>
    <t>PS 150-200/1100</t>
  </si>
  <si>
    <t>PS 150-200/1320</t>
  </si>
  <si>
    <t>PS 150-200/1600</t>
  </si>
  <si>
    <t>PS 150-250/1100</t>
  </si>
  <si>
    <t>PS 150-250/1320</t>
  </si>
  <si>
    <t>PS 150-250/1600</t>
  </si>
  <si>
    <t>PS 150-250/2000</t>
  </si>
  <si>
    <t>PS 150-315/1850</t>
  </si>
  <si>
    <t>PS 150-315/2500</t>
  </si>
  <si>
    <t>PS 150-315/2800</t>
  </si>
  <si>
    <t>PS 150-315/3150</t>
  </si>
  <si>
    <t>PS4 65-160/11</t>
  </si>
  <si>
    <t>PS4 65-160/15</t>
  </si>
  <si>
    <t>PS4 65-160/22</t>
  </si>
  <si>
    <t>PS4 65-200/15</t>
  </si>
  <si>
    <t>PS4 65-200/22</t>
  </si>
  <si>
    <t>PS4 65-200/30</t>
  </si>
  <si>
    <t>PS4 65-250/30</t>
  </si>
  <si>
    <t>PS4 65-250/40</t>
  </si>
  <si>
    <t>PS4 65-250/55</t>
  </si>
  <si>
    <t>PS4 65-315/40</t>
  </si>
  <si>
    <t>PS4 65-315/55</t>
  </si>
  <si>
    <t>PS4 65-315/75</t>
  </si>
  <si>
    <t>PS4 65-315/110</t>
  </si>
  <si>
    <t>PS4 65-315/150</t>
  </si>
  <si>
    <t>PS4 80-160/15</t>
  </si>
  <si>
    <t>PS4 80-160/22</t>
  </si>
  <si>
    <t>PS4 80-200/30</t>
  </si>
  <si>
    <t>PS4 80-200/40</t>
  </si>
  <si>
    <t>PS4 80-250/40</t>
  </si>
  <si>
    <t>PS4 80-250/55</t>
  </si>
  <si>
    <t>PS4 80-250/75</t>
  </si>
  <si>
    <t>PS4 80-250/110</t>
  </si>
  <si>
    <t>PS4 80-315/55</t>
  </si>
  <si>
    <t>PS4 80-315/75</t>
  </si>
  <si>
    <t>PS4 80-315/110</t>
  </si>
  <si>
    <t>PS4 80-315/150</t>
  </si>
  <si>
    <t>PS4 80-400/185</t>
  </si>
  <si>
    <t>PS4 80-400/220</t>
  </si>
  <si>
    <t>PS4 80-400/300</t>
  </si>
  <si>
    <t>PS4 80-400/370</t>
  </si>
  <si>
    <t>PS4 100-160/22</t>
  </si>
  <si>
    <t>PS4 100-160/30</t>
  </si>
  <si>
    <t>PS4 100-160/40</t>
  </si>
  <si>
    <t>PS4 100-200/40</t>
  </si>
  <si>
    <t>PS4 100-200/55</t>
  </si>
  <si>
    <t>PS4 100-200/75</t>
  </si>
  <si>
    <t>PS4 100-200/92</t>
  </si>
  <si>
    <t>PS4 100-250/55</t>
  </si>
  <si>
    <t>PS4 100-250/75</t>
  </si>
  <si>
    <t>PS4 100-250/110</t>
  </si>
  <si>
    <t>PS4 100-250/150</t>
  </si>
  <si>
    <t>PS4 100-315/150</t>
  </si>
  <si>
    <t>PS4 100-315/185</t>
  </si>
  <si>
    <t>PS4 100-315/220</t>
  </si>
  <si>
    <t>PS4 100-315/300</t>
  </si>
  <si>
    <t>PS4 100-400/300</t>
  </si>
  <si>
    <t>PS4 100-400/370</t>
  </si>
  <si>
    <t>PS4 100-400/450</t>
  </si>
  <si>
    <t>PS4 100-400/550</t>
  </si>
  <si>
    <t>PS4 125-200/55</t>
  </si>
  <si>
    <t>PS4 125-200/75</t>
  </si>
  <si>
    <t>PS4 125-200/110</t>
  </si>
  <si>
    <t>PS4 125-250/75</t>
  </si>
  <si>
    <t>PS4 125-250/110</t>
  </si>
  <si>
    <t>PS4 125-250/150</t>
  </si>
  <si>
    <t>PS4 125-250/185</t>
  </si>
  <si>
    <t>PS4 125-315/185</t>
  </si>
  <si>
    <t>PS4 125-315/220</t>
  </si>
  <si>
    <t>PS4 125-315/300</t>
  </si>
  <si>
    <t>PS4 125-315/370</t>
  </si>
  <si>
    <t>PS4 125-400/300</t>
  </si>
  <si>
    <t>PS4 125-400/370</t>
  </si>
  <si>
    <t>PS4 125-400/450</t>
  </si>
  <si>
    <t>PS4 125-400/550</t>
  </si>
  <si>
    <t>PS4 125-400/750</t>
  </si>
  <si>
    <t>PS4 125-400/900</t>
  </si>
  <si>
    <t>PS4 150-200/110</t>
  </si>
  <si>
    <t>PS4 150-200/150</t>
  </si>
  <si>
    <t>PS4 150-200/185</t>
  </si>
  <si>
    <t>PS4 150-200/220</t>
  </si>
  <si>
    <t>PS4 150-250/150</t>
  </si>
  <si>
    <t>PS4 150-250/185</t>
  </si>
  <si>
    <t>PS4 150-250/220</t>
  </si>
  <si>
    <t>PS4 150-250/300</t>
  </si>
  <si>
    <t>PS4 150-315/300</t>
  </si>
  <si>
    <t>PS4 150-315/370</t>
  </si>
  <si>
    <t>PS4 150-315/450</t>
  </si>
  <si>
    <t>PS4 150-315/550</t>
  </si>
  <si>
    <t>PS4 150-315/750</t>
  </si>
  <si>
    <t>PS4 150-400/550</t>
  </si>
  <si>
    <t>PS4 150-400/750</t>
  </si>
  <si>
    <t>PS4 150-400/900</t>
  </si>
  <si>
    <t>PS4 150-400/1100</t>
  </si>
  <si>
    <t>PS4 150-400/1320</t>
  </si>
  <si>
    <t>PS4 200-250/370</t>
  </si>
  <si>
    <t>250x200</t>
  </si>
  <si>
    <t>PS4 200-250/450</t>
  </si>
  <si>
    <t>PS4 200-250/550</t>
  </si>
  <si>
    <t>PS4 200-315/550</t>
  </si>
  <si>
    <t>PS4 200-315/750</t>
  </si>
  <si>
    <t>PS4 200-315/900</t>
  </si>
  <si>
    <t>PS4 200-400/750</t>
  </si>
  <si>
    <t>PS4 200-400/900</t>
  </si>
  <si>
    <t>PS4 200-400/1100</t>
  </si>
  <si>
    <t>PS4 200-400/1320</t>
  </si>
  <si>
    <t>PS4 250-315/900</t>
  </si>
  <si>
    <t>300x250</t>
  </si>
  <si>
    <t>PS4 250-315/1100</t>
  </si>
  <si>
    <t>PS4 250-315/1320</t>
  </si>
  <si>
    <t>PS4 250-315/1600</t>
  </si>
  <si>
    <t>PS4 250-400/1600</t>
  </si>
  <si>
    <t>PS4 250-400/1850</t>
  </si>
  <si>
    <t>PS4 250-400/2000</t>
  </si>
  <si>
    <t>PS4 250-400/2200</t>
  </si>
  <si>
    <t>PS4 250-400/2500</t>
  </si>
  <si>
    <t>PVT             PVS</t>
  </si>
  <si>
    <t>PVT</t>
  </si>
  <si>
    <t>PVS</t>
  </si>
  <si>
    <t>25x25</t>
  </si>
  <si>
    <t>32x32</t>
  </si>
  <si>
    <t>40x40</t>
  </si>
  <si>
    <t>50x50</t>
  </si>
  <si>
    <t>65x65</t>
  </si>
  <si>
    <t>80x80</t>
  </si>
  <si>
    <t>100x100</t>
  </si>
  <si>
    <t>Серия насосов PVS</t>
  </si>
  <si>
    <t>Серия насосов PVT</t>
  </si>
  <si>
    <t>Механическое уплотнение</t>
  </si>
  <si>
    <t>PZ</t>
  </si>
  <si>
    <t>PZ 32-160/11 (N)</t>
  </si>
  <si>
    <t>PZ 32-160/15 (N)</t>
  </si>
  <si>
    <t>PZ 32-160/22 (N)</t>
  </si>
  <si>
    <t>PZ 32-200/30 (N)</t>
  </si>
  <si>
    <t>PZ 32-200/40 (N)</t>
  </si>
  <si>
    <t>PZ 32-200/55 (N)</t>
  </si>
  <si>
    <t>PZ 40-125/15 (N)</t>
  </si>
  <si>
    <t>PZ 40-125/22 (N)</t>
  </si>
  <si>
    <t>PZ 40-160/30 (N)</t>
  </si>
  <si>
    <t>PZ 40-160/40 (N)</t>
  </si>
  <si>
    <t>PZ 40-200/55 (N)</t>
  </si>
  <si>
    <t>PZ 40-200/75 (N)</t>
  </si>
  <si>
    <t>PZ 40-200/110 (N)</t>
  </si>
  <si>
    <t>PZ 50-125/22 (N)</t>
  </si>
  <si>
    <t>PZ 50-125/30 (N)</t>
  </si>
  <si>
    <t>PZ 50-125/40 (N)</t>
  </si>
  <si>
    <t>PZ 50-160/55 (N)</t>
  </si>
  <si>
    <t>PZ 50-160/75 (N)</t>
  </si>
  <si>
    <t>PZ 50-200/92 (N)</t>
  </si>
  <si>
    <t>PZ 50-200/110 (N)</t>
  </si>
  <si>
    <t>PZ 50-200/150 (N)</t>
  </si>
  <si>
    <t>PZ 65-125/40 (N)</t>
  </si>
  <si>
    <t>PZ 65-125/55 (N)</t>
  </si>
  <si>
    <t>PZ 65-125/75 (N)</t>
  </si>
  <si>
    <t>PZ 65-160/92 (N)</t>
  </si>
  <si>
    <t>PZ 65-160/110 (N)</t>
  </si>
  <si>
    <t>PZ 65-160/150 (N)</t>
  </si>
  <si>
    <t>PZ 65-200/150 (N)</t>
  </si>
  <si>
    <t>PZ 65-200/185 (N)</t>
  </si>
  <si>
    <t>PZ 65-200/220 (N)</t>
  </si>
  <si>
    <t>PZ 80-160/110 (N)</t>
  </si>
  <si>
    <t>PZ 80-160/150 (N)</t>
  </si>
  <si>
    <t>PZ 80-160/185 (N)</t>
  </si>
  <si>
    <t>PZ 80-200/220 (N)</t>
  </si>
  <si>
    <t>PZ 80-200/300 (N)</t>
  </si>
  <si>
    <t>PZ 80-200/370 (N)</t>
  </si>
  <si>
    <t>Нержавеющая сталь 304</t>
  </si>
  <si>
    <t>PC</t>
  </si>
  <si>
    <t>Латунь</t>
  </si>
  <si>
    <t>Всасывающее и выпускное отверстия с резьбой G20</t>
  </si>
  <si>
    <t>P2C</t>
  </si>
  <si>
    <t>32×25</t>
  </si>
  <si>
    <t>40×32</t>
  </si>
  <si>
    <t>50×40</t>
  </si>
  <si>
    <t>Максимальные</t>
  </si>
  <si>
    <t>Номинальные</t>
  </si>
  <si>
    <t>Рабочее</t>
  </si>
  <si>
    <t>PXZ</t>
  </si>
  <si>
    <t xml:space="preserve"> колесо</t>
  </si>
  <si>
    <t>PXZ 25-45-4</t>
  </si>
  <si>
    <t>PXZW 28-38-4</t>
  </si>
  <si>
    <t>Рабочее колесо закрытого типа для чистых вод</t>
  </si>
  <si>
    <t>PXZW</t>
  </si>
  <si>
    <t>Рабочее колесо открытого типа для сточных вод</t>
  </si>
  <si>
    <t>PZW</t>
  </si>
  <si>
    <t>PZWM</t>
  </si>
  <si>
    <t>PZWM25-8-15/2</t>
  </si>
  <si>
    <t>PZWM32-5-20/2</t>
  </si>
  <si>
    <t>PZWM32-9-30/2</t>
  </si>
  <si>
    <t>3</t>
  </si>
  <si>
    <t>PZWM40-10-20/2</t>
  </si>
  <si>
    <t>PZWM40-15-30/2</t>
  </si>
  <si>
    <t>PZWM50-10-20/2</t>
  </si>
  <si>
    <t>PZWM50-20-15/2</t>
  </si>
  <si>
    <t>PZWM50-18-22/2</t>
  </si>
  <si>
    <t>PZWM50-15-30/2</t>
  </si>
  <si>
    <t>PZWM50-20-35/2</t>
  </si>
  <si>
    <t>PZWM50-20-40/2</t>
  </si>
  <si>
    <t>PZWM50-20-50/2</t>
  </si>
  <si>
    <t>11</t>
  </si>
  <si>
    <t>PZWM65-30-18/2</t>
  </si>
  <si>
    <t>4</t>
  </si>
  <si>
    <t>PZWM65-30-18/4</t>
  </si>
  <si>
    <t>PZWM65-25-30/2</t>
  </si>
  <si>
    <t>PZWM65-25-40/2</t>
  </si>
  <si>
    <t>PZWM65-25-50/2</t>
  </si>
  <si>
    <t>PZWM65-40-25/2</t>
  </si>
  <si>
    <t>PZWM80-40-16/2</t>
  </si>
  <si>
    <t>PZWM80-40-16/4</t>
  </si>
  <si>
    <t>PZWM80-25-40/2</t>
  </si>
  <si>
    <t>PZWM80-50-15/2</t>
  </si>
  <si>
    <t>PZWM80-65-25/2</t>
  </si>
  <si>
    <t>PZWM80-50-30/2</t>
  </si>
  <si>
    <t>PZWM80-80-35/2</t>
  </si>
  <si>
    <t>15</t>
  </si>
  <si>
    <t>PZWM80-50-60/2</t>
  </si>
  <si>
    <t>22</t>
  </si>
  <si>
    <t>PZWM100-100-10/4</t>
  </si>
  <si>
    <t>PZWM100-80-20/4</t>
  </si>
  <si>
    <t>PZWM100-100-15/4</t>
  </si>
  <si>
    <t>PZWM100-100-15/2</t>
  </si>
  <si>
    <t>PZWM100-100-20/2</t>
  </si>
  <si>
    <t>PZWM100-100-20/4</t>
  </si>
  <si>
    <t>PZWM100-100-30/2</t>
  </si>
  <si>
    <t>PZWM100-80-45/2</t>
  </si>
  <si>
    <t>PZWM100-80-60/2</t>
  </si>
  <si>
    <t>37</t>
  </si>
  <si>
    <t>PZWM100-80-80/2</t>
  </si>
  <si>
    <t>45</t>
  </si>
  <si>
    <t>PZWM125-120-20/4</t>
  </si>
  <si>
    <t>125x125</t>
  </si>
  <si>
    <t>PZWM150-180-10/4</t>
  </si>
  <si>
    <t>150x150</t>
  </si>
  <si>
    <t>PZWM150-180-14/4</t>
  </si>
  <si>
    <t>PZWM150-180-20/4</t>
  </si>
  <si>
    <t>PZWM150-180-30/4</t>
  </si>
  <si>
    <t>30</t>
  </si>
  <si>
    <t>PZWM150-180-35/4</t>
  </si>
  <si>
    <t>PZWM150-180-38/4</t>
  </si>
  <si>
    <t>PZWM150-180-45/4</t>
  </si>
  <si>
    <t>55</t>
  </si>
  <si>
    <t>PZWM200-280-14/4</t>
  </si>
  <si>
    <t>200x200</t>
  </si>
  <si>
    <t>PZWM200-280-20/4</t>
  </si>
  <si>
    <t>PZWM200-280-25/4</t>
  </si>
  <si>
    <t>PZWM200-280-28/4</t>
  </si>
  <si>
    <t>PZWM250-420-14/4</t>
  </si>
  <si>
    <t>250x250</t>
  </si>
  <si>
    <t>PZWM250-420-20/4</t>
  </si>
  <si>
    <t>PZWM300-800-14/4</t>
  </si>
  <si>
    <t>300x300</t>
  </si>
  <si>
    <t>PZWM300-800-20/4</t>
  </si>
  <si>
    <t>75</t>
  </si>
  <si>
    <t>Материал</t>
  </si>
  <si>
    <t>Рабочего</t>
  </si>
  <si>
    <t>Q - м³/ч</t>
  </si>
  <si>
    <t>H - м</t>
  </si>
  <si>
    <t>Колеса</t>
  </si>
  <si>
    <t>40WQ6-16-0.75A</t>
  </si>
  <si>
    <t>50WQ10-10-0.75A</t>
  </si>
  <si>
    <t>50WQ8-16-1.1A</t>
  </si>
  <si>
    <t>50WQ15-15-1.5A</t>
  </si>
  <si>
    <t>50WQ8-20-1.5A</t>
  </si>
  <si>
    <t>50WQ9-22-2.2A</t>
  </si>
  <si>
    <t>WQA</t>
  </si>
  <si>
    <t>50WQ15-20-2.2A</t>
  </si>
  <si>
    <t>50WQ15-30-3A</t>
  </si>
  <si>
    <t>50WQ15-35-4A</t>
  </si>
  <si>
    <t>50WQ15-40-5.5A</t>
  </si>
  <si>
    <t>50WQ20-45-7.5A</t>
  </si>
  <si>
    <t>65WQ15-10-1.1A</t>
  </si>
  <si>
    <t>65WQ25-10-1.5A</t>
  </si>
  <si>
    <t>65WQ25-17-2.2A</t>
  </si>
  <si>
    <t xml:space="preserve"> </t>
  </si>
  <si>
    <t>65WQ25-22-3A</t>
  </si>
  <si>
    <t>65WQ25-28-4A</t>
  </si>
  <si>
    <t>65WQ30-30-5.5A</t>
  </si>
  <si>
    <t>65WQ30-35-7.5A</t>
  </si>
  <si>
    <t>80WQ45-9-2.2A</t>
  </si>
  <si>
    <t>80WQ43-13-3A</t>
  </si>
  <si>
    <t>80WQ40-18-4A</t>
  </si>
  <si>
    <t>80WQ30-30-5.5A</t>
  </si>
  <si>
    <t>80WQ30-36-7.5A</t>
  </si>
  <si>
    <t>100WQ60-9-3A</t>
  </si>
  <si>
    <t>100WQ60-13-4A</t>
  </si>
  <si>
    <t>100WQ65-15-5.5A</t>
  </si>
  <si>
    <t>100WQ65-22-7.5A</t>
  </si>
  <si>
    <t>150WQ100-7-5.5A</t>
  </si>
  <si>
    <t>150WQ100-10-7.5A</t>
  </si>
  <si>
    <t>65WQ25-45-11A</t>
  </si>
  <si>
    <t>80WQ45-40-11A</t>
  </si>
  <si>
    <t>100WQ100-25-11A</t>
  </si>
  <si>
    <t>150WQ150-15-11A</t>
  </si>
  <si>
    <t>200WQ210-7-11A</t>
  </si>
  <si>
    <t>65WQ25-60-15A</t>
  </si>
  <si>
    <t>80WQ40-50-15A</t>
  </si>
  <si>
    <t>100WQ100-30-15A</t>
  </si>
  <si>
    <t>150WQ150-20-15A</t>
  </si>
  <si>
    <t>WQ</t>
  </si>
  <si>
    <t>200WQ220-12-15A</t>
  </si>
  <si>
    <t>80WQ60-45-18.5A</t>
  </si>
  <si>
    <t>100WQ100-35-18.5A</t>
  </si>
  <si>
    <t>150WQ130-25-18.5A</t>
  </si>
  <si>
    <t>200WQ200-15-18.5A</t>
  </si>
  <si>
    <t>80WQ60-50-22A</t>
  </si>
  <si>
    <t>100WQ100-40-22A</t>
  </si>
  <si>
    <t>150WQ130-30-22A</t>
  </si>
  <si>
    <t>200WQ200-20-22A</t>
  </si>
  <si>
    <t>80WQ80-13-5.5/4</t>
  </si>
  <si>
    <t>100WQ110-10-5.5/4</t>
  </si>
  <si>
    <t>150WQ150-7-5.5/4</t>
  </si>
  <si>
    <t>80WQ80-20-7.5/4A</t>
  </si>
  <si>
    <t>100WQ100-15-7.5/4</t>
  </si>
  <si>
    <t>150WQ145-9-7.5/4</t>
  </si>
  <si>
    <t>200WQ250-6-7.5/4</t>
  </si>
  <si>
    <t>100WQ100-25-11/4</t>
  </si>
  <si>
    <t>150WQ180-11-11/4</t>
  </si>
  <si>
    <t>200WQ300-7-11/4</t>
  </si>
  <si>
    <t>250WQ400-5-11/4</t>
  </si>
  <si>
    <t>100WQ100-30-15/4</t>
  </si>
  <si>
    <t>150WQ200-15-15/4</t>
  </si>
  <si>
    <t>200WQ250-11-15/4</t>
  </si>
  <si>
    <t>не доступен под заказ</t>
  </si>
  <si>
    <t>200WQ300-12-15</t>
  </si>
  <si>
    <t>250WQ500-5-15/4</t>
  </si>
  <si>
    <t>100WQ100-35-18.5/4</t>
  </si>
  <si>
    <t>150WQ180-20-18.5/4</t>
  </si>
  <si>
    <t>200WQ300-10-18.5/4</t>
  </si>
  <si>
    <t>250WQ500-7-18.5/4</t>
  </si>
  <si>
    <t>300WQ650-5-18.5/4</t>
  </si>
  <si>
    <t>100WQ100-40-22/4</t>
  </si>
  <si>
    <t>150WQ200-22-22/4</t>
  </si>
  <si>
    <t>200WQ300-16-22/4</t>
  </si>
  <si>
    <t>250WQ500-9-22/4</t>
  </si>
  <si>
    <t>300WQ650-7-22/4</t>
  </si>
  <si>
    <t>100WQ120-45-30/4</t>
  </si>
  <si>
    <t>150WQ180-30-30/4</t>
  </si>
  <si>
    <t>200WQ250-22-30/4</t>
  </si>
  <si>
    <t>250WQ500-12-30/4</t>
  </si>
  <si>
    <t>300WQ800-7-30/4</t>
  </si>
  <si>
    <t>100WQ120-50-37/4</t>
  </si>
  <si>
    <t>150WQ200-35-37/4</t>
  </si>
  <si>
    <t>200WQ300-28-37/4</t>
  </si>
  <si>
    <t>250WQ600-12-37/4</t>
  </si>
  <si>
    <t>300WQ800-9-37/4</t>
  </si>
  <si>
    <t>350WQ1000-6-37/4</t>
  </si>
  <si>
    <t>100WQ100-57-45/4</t>
  </si>
  <si>
    <t>150WQ200-40-45/4</t>
  </si>
  <si>
    <t>200WQ300-32-45/4</t>
  </si>
  <si>
    <t>250WQ600-15-45/4</t>
  </si>
  <si>
    <t>300WQ800-12-45/4</t>
  </si>
  <si>
    <t>350WQ1200-8-45/4</t>
  </si>
  <si>
    <t>100WQ100-65-55/4</t>
  </si>
  <si>
    <t>150WQ180-50-55/4</t>
  </si>
  <si>
    <t>200WQ300-40-55/4</t>
  </si>
  <si>
    <t>250WQ600-20-55/4</t>
  </si>
  <si>
    <t>300WQ800-15-55/4</t>
  </si>
  <si>
    <t>350WQ1000-10-55/4</t>
  </si>
  <si>
    <t>100WQ120-75-75/4</t>
  </si>
  <si>
    <t>150WQ200-60-75/4</t>
  </si>
  <si>
    <t>200WQ350-45-75/4</t>
  </si>
  <si>
    <t>250WQ600-25-75/4</t>
  </si>
  <si>
    <t>300WQ800-20-75/4</t>
  </si>
  <si>
    <t>350WQ1000-15-75/4</t>
  </si>
  <si>
    <t>100WQ120-85-90/4</t>
  </si>
  <si>
    <t>150WQ200-70-90/4</t>
  </si>
  <si>
    <t>200WQ400-50-90/4</t>
  </si>
  <si>
    <t>250WQ600-30-90/4</t>
  </si>
  <si>
    <t>300WQ80-25-90/4</t>
  </si>
  <si>
    <t>350WQ1000-18-90/4</t>
  </si>
  <si>
    <t>150WQ200-90-132/4</t>
  </si>
  <si>
    <t>250WQ750-75-200/4</t>
  </si>
  <si>
    <t xml:space="preserve">350WQ1100-10-55/6 </t>
  </si>
  <si>
    <t>350WQ1500-12-75/6</t>
  </si>
  <si>
    <t>200WQ300-65-110/4</t>
  </si>
  <si>
    <t>40WQ10-10-0.75QG</t>
  </si>
  <si>
    <t>4CR13</t>
  </si>
  <si>
    <t>40WQ15-10-1.1QG</t>
  </si>
  <si>
    <t>50WQ10-10-0.75QG</t>
  </si>
  <si>
    <t>50WQ15-10-1.1QG</t>
  </si>
  <si>
    <t>50WQ15-15-1.5QG</t>
  </si>
  <si>
    <t>50WQ9-22-2.2QG</t>
  </si>
  <si>
    <t>50WQ15-20-2.2QG</t>
  </si>
  <si>
    <t>50WQ15-30-3QG</t>
  </si>
  <si>
    <t>65WQ15-10-1.1QG</t>
  </si>
  <si>
    <t>65WQ25-10-1.5QG</t>
  </si>
  <si>
    <t>65WQ25-17-2.2QG</t>
  </si>
  <si>
    <t>65WQ25-21-3QG</t>
  </si>
  <si>
    <t>65WQ25-26-4QG</t>
  </si>
  <si>
    <t>65WQ30-30-5.5QG</t>
  </si>
  <si>
    <t>65WQ30-36-7.5QG</t>
  </si>
  <si>
    <t>80WQ45-9-2.2QG</t>
  </si>
  <si>
    <t>80WQ43-13-3QG</t>
  </si>
  <si>
    <t>80WQ45-17-4QG</t>
  </si>
  <si>
    <t>80WQ40-23-5.5QG</t>
  </si>
  <si>
    <t>80WQ45-28-7.5QG</t>
  </si>
  <si>
    <t>100WQ65-12-4QG</t>
  </si>
  <si>
    <t>100WQ65-17-5.5QG</t>
  </si>
  <si>
    <t>100WQ65-23-7.5QG</t>
  </si>
  <si>
    <t>150WQ100-12-7.5QG</t>
  </si>
  <si>
    <t>80WQV50-30-11/2</t>
  </si>
  <si>
    <t>100WQV80-25-11/2</t>
  </si>
  <si>
    <t>150WQV100-20-11/2</t>
  </si>
  <si>
    <t>200WQV180-11-11/2</t>
  </si>
  <si>
    <t>80WQV60-40-15/2</t>
  </si>
  <si>
    <t>100WQV100-30-15/2</t>
  </si>
  <si>
    <t>150WQV120-25-15/2</t>
  </si>
  <si>
    <t>200WQV180-15-15/2</t>
  </si>
  <si>
    <t>80WQV60-45-18.5/2</t>
  </si>
  <si>
    <t>100WQV80-40-18.5/2</t>
  </si>
  <si>
    <t>150WQV100-36-18.5/2</t>
  </si>
  <si>
    <t>200WQV180-18-18.5/2</t>
  </si>
  <si>
    <t>80WQV60-50-22/2</t>
  </si>
  <si>
    <t>100WQV80-45-22/2</t>
  </si>
  <si>
    <t>150WQV100-40-22/2</t>
  </si>
  <si>
    <t>200WQV200-20-22/2</t>
  </si>
  <si>
    <t>80WQV80-25-11/4</t>
  </si>
  <si>
    <t>2CR13</t>
  </si>
  <si>
    <t>100WQV80-25-11/4</t>
  </si>
  <si>
    <t>150WQV150-15-11/4</t>
  </si>
  <si>
    <t>200WQV180-11-11/4</t>
  </si>
  <si>
    <t>80WQV80-30-15/4</t>
  </si>
  <si>
    <t>100WQV80-30-15/4</t>
  </si>
  <si>
    <t>150WQV200-15-15/4</t>
  </si>
  <si>
    <t>200WQV250-11-15/2</t>
  </si>
  <si>
    <t>150WQV250-15-18.5/4</t>
  </si>
  <si>
    <t>200WQV350-12-18.5/4</t>
  </si>
  <si>
    <t>150WQV300-15-22/4</t>
  </si>
  <si>
    <t>200WQV400-10-22/4</t>
  </si>
  <si>
    <t>200WQV250-21-30/4</t>
  </si>
  <si>
    <t>250WQV450-15-30/4</t>
  </si>
  <si>
    <t>300WQV600-10-30/4</t>
  </si>
  <si>
    <t>Габариты</t>
  </si>
  <si>
    <t>см</t>
  </si>
  <si>
    <t>40-40(PN6) COUPLING</t>
  </si>
  <si>
    <t>25.5*17*21.5</t>
  </si>
  <si>
    <t>C50-50(PN6) COUPLING</t>
  </si>
  <si>
    <t>28*20.5*25.5</t>
  </si>
  <si>
    <t>C65-65(PN6) COUPLING</t>
  </si>
  <si>
    <t>32*21.5*25.5</t>
  </si>
  <si>
    <t>80-80(PN6) COUPLING</t>
  </si>
  <si>
    <t>33*26*30.5</t>
  </si>
  <si>
    <t>100-100(PN6) COUPLING</t>
  </si>
  <si>
    <t>39*30.5*35.5</t>
  </si>
  <si>
    <t>A150-150(PN6) COUPLING</t>
  </si>
  <si>
    <t>61*41*49</t>
  </si>
  <si>
    <t>200-200(PN10) COUPLING</t>
  </si>
  <si>
    <t>72*42*56</t>
  </si>
  <si>
    <t>250-250(PN10) COUPLING</t>
  </si>
  <si>
    <t>81*47.5*67</t>
  </si>
  <si>
    <t>300-300(PN10) COUPLING</t>
  </si>
  <si>
    <t>79*56*74.5</t>
  </si>
  <si>
    <t>350-350(PN10) COUPLING</t>
  </si>
  <si>
    <t>93*67*87</t>
  </si>
  <si>
    <t>400-400(PN10) COUPLING</t>
  </si>
  <si>
    <t>PST4 65-250/30</t>
  </si>
  <si>
    <t>PST4 65-250/40</t>
  </si>
  <si>
    <t>PST4 65-250/55</t>
  </si>
  <si>
    <t>PST4 65-315/40</t>
  </si>
  <si>
    <t>PST4 65-315/55</t>
  </si>
  <si>
    <t>PST4 65-315/75</t>
  </si>
  <si>
    <t>PST4 65-315/110</t>
  </si>
  <si>
    <t>PST4 65-315/150</t>
  </si>
  <si>
    <t>PST4 80-200/30</t>
  </si>
  <si>
    <t>PST4 80-200/40</t>
  </si>
  <si>
    <t>PST4 80-250/55</t>
  </si>
  <si>
    <t>PST4 80-250/75</t>
  </si>
  <si>
    <t>PST4 80-250/110</t>
  </si>
  <si>
    <t>PST4 80-315/55</t>
  </si>
  <si>
    <t>PST4 80-315/75</t>
  </si>
  <si>
    <t>PST4 80-315/110</t>
  </si>
  <si>
    <t>PST4 80-315/150</t>
  </si>
  <si>
    <t>PST4 80-400/185</t>
  </si>
  <si>
    <t>PST4 80-400/220</t>
  </si>
  <si>
    <t>PST4 80-400/300</t>
  </si>
  <si>
    <t>PST4 100-200/40</t>
  </si>
  <si>
    <t>PST4 100-200/55</t>
  </si>
  <si>
    <t>PST4 100-200/75</t>
  </si>
  <si>
    <t>PST4 100-250/55</t>
  </si>
  <si>
    <t>PST4 100-250/75</t>
  </si>
  <si>
    <t>PST4 100-250/110</t>
  </si>
  <si>
    <t>PST4 100-250/150</t>
  </si>
  <si>
    <t>PST4 100-315/150</t>
  </si>
  <si>
    <t>PST4 100-315/185</t>
  </si>
  <si>
    <t>PST4 100-315/220</t>
  </si>
  <si>
    <t>PST4 100-315/300</t>
  </si>
  <si>
    <t>PST4 100-400/300</t>
  </si>
  <si>
    <t>PST4 100-400/370</t>
  </si>
  <si>
    <t>PST4 100-400/450</t>
  </si>
  <si>
    <t>PST4 125-200/55</t>
  </si>
  <si>
    <t>PST4 125-200/75</t>
  </si>
  <si>
    <t>PST4 125-200/110</t>
  </si>
  <si>
    <t>PST4 125-250/75</t>
  </si>
  <si>
    <t>PST4 125-250/110</t>
  </si>
  <si>
    <t>PST4 125-250/150</t>
  </si>
  <si>
    <t>PST4 125-250/185</t>
  </si>
  <si>
    <t>PST4 125-315/185</t>
  </si>
  <si>
    <t>PST4 125-315/220</t>
  </si>
  <si>
    <t>PST4 125-315/300</t>
  </si>
  <si>
    <t>PST4 125-315/370</t>
  </si>
  <si>
    <t>PST4 150-200/110</t>
  </si>
  <si>
    <t>PST4 150-200/150</t>
  </si>
  <si>
    <t>PST4 150-200/185</t>
  </si>
  <si>
    <t>PST4 150-200/220</t>
  </si>
  <si>
    <t>PST4 150-250/150</t>
  </si>
  <si>
    <t>PST4 150-250/185</t>
  </si>
  <si>
    <t>PST4 150-250/220</t>
  </si>
  <si>
    <t>PST4 150-250/300</t>
  </si>
  <si>
    <t>PST4 150-315/370</t>
  </si>
  <si>
    <t>PST4 150-315/450</t>
  </si>
  <si>
    <t>PST4 150-315/550</t>
  </si>
  <si>
    <t>PST4 150-315/750</t>
  </si>
  <si>
    <t>PST4 150-400/550</t>
  </si>
  <si>
    <t>PST4 150-400/750</t>
  </si>
  <si>
    <t>PST4 150-400/900</t>
  </si>
  <si>
    <t>PST4 150-400/1100</t>
  </si>
  <si>
    <t>PST4 150-400/1320</t>
  </si>
  <si>
    <t>3 410</t>
  </si>
  <si>
    <t>4 320</t>
  </si>
  <si>
    <t>5 330</t>
  </si>
  <si>
    <t>PST4</t>
  </si>
  <si>
    <t>Карбид кремния / Углеграфит / Нержавеющая сталь 304</t>
  </si>
  <si>
    <t>Уплотение корпуса</t>
  </si>
  <si>
    <t>EPDM</t>
  </si>
  <si>
    <t>Температура жидкости</t>
  </si>
  <si>
    <t>-10°C …+120°C</t>
  </si>
  <si>
    <t>PSTG 32-125/7</t>
  </si>
  <si>
    <t>PSTG 32-125/11</t>
  </si>
  <si>
    <t>PSTG 32-160/15</t>
  </si>
  <si>
    <t>PSTG 32-160/22</t>
  </si>
  <si>
    <t>PSTG 32-160/30</t>
  </si>
  <si>
    <t>PSTG 32-200/30</t>
  </si>
  <si>
    <t>PSTG 32-200/40</t>
  </si>
  <si>
    <t>PSTG 32-250/55</t>
  </si>
  <si>
    <t>PSTG 32-250/75</t>
  </si>
  <si>
    <t xml:space="preserve">PSTG 32-250/92 </t>
  </si>
  <si>
    <t xml:space="preserve">PSTG 32-250/110 </t>
  </si>
  <si>
    <t>артикул</t>
  </si>
  <si>
    <t xml:space="preserve">PSTG 32-250/150 </t>
  </si>
  <si>
    <t xml:space="preserve">PSTG 32-250/55D </t>
  </si>
  <si>
    <t xml:space="preserve">PSTG 32-250/75D </t>
  </si>
  <si>
    <t xml:space="preserve">PSTG 40-125/11 </t>
  </si>
  <si>
    <t xml:space="preserve">PSTG 40-125/15 </t>
  </si>
  <si>
    <t xml:space="preserve">PSTG 40-125/22 </t>
  </si>
  <si>
    <t xml:space="preserve">PSTG 40-160/30 </t>
  </si>
  <si>
    <t xml:space="preserve">PSTG 40-160/40 </t>
  </si>
  <si>
    <t xml:space="preserve">PSTG 40-200/55 </t>
  </si>
  <si>
    <t xml:space="preserve">PSTG 40-200/75 </t>
  </si>
  <si>
    <t xml:space="preserve">PSTG 40-250/92 </t>
  </si>
  <si>
    <t xml:space="preserve">PSTG 40-250/110 </t>
  </si>
  <si>
    <t xml:space="preserve">PSTG 40-250/150 </t>
  </si>
  <si>
    <t xml:space="preserve">PSTG 40-250/185 </t>
  </si>
  <si>
    <t xml:space="preserve">PSTG 50-125/22 </t>
  </si>
  <si>
    <t xml:space="preserve">PSTG 50-125/30 </t>
  </si>
  <si>
    <t xml:space="preserve">PSTG 50-125/40 </t>
  </si>
  <si>
    <t xml:space="preserve">PSTG 50-160/55 </t>
  </si>
  <si>
    <t xml:space="preserve">PSTG 50-160/75 </t>
  </si>
  <si>
    <t xml:space="preserve">PSTG 50-200/92 </t>
  </si>
  <si>
    <t xml:space="preserve">PSTG 50-200/110 </t>
  </si>
  <si>
    <t xml:space="preserve">PSTG 50-200/150 </t>
  </si>
  <si>
    <t xml:space="preserve">PSTG 50-250/150 </t>
  </si>
  <si>
    <t xml:space="preserve">PSTG 50-250/185 </t>
  </si>
  <si>
    <t xml:space="preserve">PSTG 50-250/220 </t>
  </si>
  <si>
    <t xml:space="preserve">PSTG 65-125/40 </t>
  </si>
  <si>
    <t xml:space="preserve">PSTG 65-125/55 </t>
  </si>
  <si>
    <t xml:space="preserve">PSTG 65-125/75 </t>
  </si>
  <si>
    <t xml:space="preserve">PSTG 65-160/92 </t>
  </si>
  <si>
    <t xml:space="preserve">PSTG 65-160/110 </t>
  </si>
  <si>
    <t xml:space="preserve">PSTG 65-160/150 </t>
  </si>
  <si>
    <t xml:space="preserve">PSTG 65-200/150 </t>
  </si>
  <si>
    <t xml:space="preserve">PSTG 65-200/185 </t>
  </si>
  <si>
    <t xml:space="preserve">PSTG 65-200/220 </t>
  </si>
  <si>
    <t xml:space="preserve">PSTG 65-250/220 </t>
  </si>
  <si>
    <t xml:space="preserve">PSTG 65-250/300 </t>
  </si>
  <si>
    <t xml:space="preserve">PSTG 65-250/370 </t>
  </si>
  <si>
    <t xml:space="preserve">PSTG 65-315/450 </t>
  </si>
  <si>
    <t xml:space="preserve">PSTG 65-315/550 </t>
  </si>
  <si>
    <t xml:space="preserve">PSTG 65-315/750 </t>
  </si>
  <si>
    <t xml:space="preserve">PSTG 65-315/900 </t>
  </si>
  <si>
    <t xml:space="preserve">PSTG 80-125/40 </t>
  </si>
  <si>
    <t xml:space="preserve">PSTG 80-125/55 </t>
  </si>
  <si>
    <t xml:space="preserve">PSTG 80-125/75 </t>
  </si>
  <si>
    <t xml:space="preserve">PSTG 80-160/110 </t>
  </si>
  <si>
    <t xml:space="preserve">PSTG 80-160/150 </t>
  </si>
  <si>
    <t xml:space="preserve">PSTG 80-160/185 </t>
  </si>
  <si>
    <t xml:space="preserve">PSTG 80-160/220 </t>
  </si>
  <si>
    <t xml:space="preserve">PSTG 80-200/220 </t>
  </si>
  <si>
    <t xml:space="preserve">PSTG 80-200/300 </t>
  </si>
  <si>
    <t xml:space="preserve">PSTG 80-250/370 </t>
  </si>
  <si>
    <t xml:space="preserve">PSTG 80-250/450 </t>
  </si>
  <si>
    <t xml:space="preserve">PSTG 80-250/550 </t>
  </si>
  <si>
    <t xml:space="preserve">PSTG 80-315/450 </t>
  </si>
  <si>
    <t xml:space="preserve">PSTG 80-315/550 </t>
  </si>
  <si>
    <t xml:space="preserve">PSTG 80-315/750 </t>
  </si>
  <si>
    <t xml:space="preserve">PSTG 80-315/900 </t>
  </si>
  <si>
    <t xml:space="preserve">PSTG 100-160/150 </t>
  </si>
  <si>
    <t xml:space="preserve">PSTG 100-160/185 </t>
  </si>
  <si>
    <t xml:space="preserve">PSTG 100-160/220 </t>
  </si>
  <si>
    <t xml:space="preserve">PSTG 100-200/220 </t>
  </si>
  <si>
    <t xml:space="preserve">PSTG 100-200/300 </t>
  </si>
  <si>
    <t xml:space="preserve">PSTG 100-200/370 </t>
  </si>
  <si>
    <t xml:space="preserve">PSTG 100-250/450 </t>
  </si>
  <si>
    <t xml:space="preserve">PSTG 100-250/550 </t>
  </si>
  <si>
    <t xml:space="preserve">PSTG 100-250/750 </t>
  </si>
  <si>
    <t xml:space="preserve">PSTG 100-250/900 </t>
  </si>
  <si>
    <t xml:space="preserve">PSTG 100-315/750 </t>
  </si>
  <si>
    <t xml:space="preserve">PSTG 100-315/900 </t>
  </si>
  <si>
    <t xml:space="preserve">PSTG 100-315/1100 </t>
  </si>
  <si>
    <t xml:space="preserve">PSTG 100-315/1320 </t>
  </si>
  <si>
    <t xml:space="preserve">PSTG 100-315/1600 </t>
  </si>
  <si>
    <t xml:space="preserve">PSTG 125-200/450 </t>
  </si>
  <si>
    <t xml:space="preserve">PSTG 125-200/550 </t>
  </si>
  <si>
    <t xml:space="preserve">PSTG 125-200/750 </t>
  </si>
  <si>
    <t xml:space="preserve">PSTG 125-250/550 </t>
  </si>
  <si>
    <t xml:space="preserve">PSTG 125-250/750 </t>
  </si>
  <si>
    <t xml:space="preserve">PSTG 125-250/900 </t>
  </si>
  <si>
    <t xml:space="preserve">PT 50-170/7 </t>
  </si>
  <si>
    <t xml:space="preserve">PT 50-220/11 </t>
  </si>
  <si>
    <t xml:space="preserve">PT 50-250/15 </t>
  </si>
  <si>
    <t xml:space="preserve">PT 50-310/22 </t>
  </si>
  <si>
    <t xml:space="preserve">PT 50-350/30 </t>
  </si>
  <si>
    <t xml:space="preserve">PT 50-410/40 </t>
  </si>
  <si>
    <t xml:space="preserve">PT 50-460/55 </t>
  </si>
  <si>
    <t xml:space="preserve">PT 50-570/75 </t>
  </si>
  <si>
    <t xml:space="preserve">PT 65-140/11 </t>
  </si>
  <si>
    <t xml:space="preserve">PT 65-180/15 </t>
  </si>
  <si>
    <t xml:space="preserve">PT 65-240/22 </t>
  </si>
  <si>
    <t xml:space="preserve">PT 65-310/30 </t>
  </si>
  <si>
    <t xml:space="preserve">PT 65-380/40 </t>
  </si>
  <si>
    <t xml:space="preserve">PT 65-320/55 </t>
  </si>
  <si>
    <t xml:space="preserve">PT 65-400/75 </t>
  </si>
  <si>
    <t xml:space="preserve">PT 80-190/40 </t>
  </si>
  <si>
    <t xml:space="preserve">PT 80-230/55 </t>
  </si>
  <si>
    <t xml:space="preserve">PT 80-270/75 </t>
  </si>
  <si>
    <t xml:space="preserve">PT 80-330/92 </t>
  </si>
  <si>
    <t xml:space="preserve">PT 80-360/110 </t>
  </si>
  <si>
    <t xml:space="preserve">PT 80-420/150 </t>
  </si>
  <si>
    <t xml:space="preserve">PT 100-270/110 </t>
  </si>
  <si>
    <t xml:space="preserve">PT 100-320/150 </t>
  </si>
  <si>
    <t xml:space="preserve">PT 100-390/185 </t>
  </si>
  <si>
    <t xml:space="preserve">PT 100-480/220 </t>
  </si>
  <si>
    <t xml:space="preserve">PT 100-600/300 </t>
  </si>
  <si>
    <t xml:space="preserve">PTD32-14G/2 </t>
  </si>
  <si>
    <t xml:space="preserve">PTD32-18G/2 </t>
  </si>
  <si>
    <t xml:space="preserve">PTD32-21G/2 </t>
  </si>
  <si>
    <t xml:space="preserve">PTD32-26G/2 </t>
  </si>
  <si>
    <t xml:space="preserve">PTD32-33G/2 </t>
  </si>
  <si>
    <t xml:space="preserve">PTD32-40G/2 </t>
  </si>
  <si>
    <t xml:space="preserve">PTD32-50G/2 </t>
  </si>
  <si>
    <t xml:space="preserve">PTD40-14G/2 </t>
  </si>
  <si>
    <t xml:space="preserve">PTD40-16G/2 </t>
  </si>
  <si>
    <t xml:space="preserve">PTD40-21G/2 </t>
  </si>
  <si>
    <t xml:space="preserve">PTD300-55/4 </t>
  </si>
  <si>
    <t xml:space="preserve">PTD300-44/4 </t>
  </si>
  <si>
    <t xml:space="preserve">PTD300-35/4 </t>
  </si>
  <si>
    <t xml:space="preserve">PTD300-30/4 </t>
  </si>
  <si>
    <t xml:space="preserve">PTD300-25/4 </t>
  </si>
  <si>
    <t xml:space="preserve">PTD300-20/4 </t>
  </si>
  <si>
    <t xml:space="preserve">PTD300-15/4 </t>
  </si>
  <si>
    <t xml:space="preserve">PTD250-56/4 </t>
  </si>
  <si>
    <t xml:space="preserve">PTD250-50/4 </t>
  </si>
  <si>
    <t xml:space="preserve">PTD250-47/4 </t>
  </si>
  <si>
    <t xml:space="preserve">PTD250-40/4 </t>
  </si>
  <si>
    <t xml:space="preserve">PTD250-36/4 </t>
  </si>
  <si>
    <t xml:space="preserve">PTD250-32/4 </t>
  </si>
  <si>
    <t xml:space="preserve">PTD250-29/4 </t>
  </si>
  <si>
    <t xml:space="preserve">PTD250-26/4 </t>
  </si>
  <si>
    <t xml:space="preserve">PTD250-22/4 </t>
  </si>
  <si>
    <t xml:space="preserve">PTD250-20/4 </t>
  </si>
  <si>
    <t xml:space="preserve">PTD250-19/4 </t>
  </si>
  <si>
    <t xml:space="preserve">PTD250-17/4 </t>
  </si>
  <si>
    <t xml:space="preserve">PTD250-16/4 </t>
  </si>
  <si>
    <t xml:space="preserve">PTD250-14/4 </t>
  </si>
  <si>
    <t xml:space="preserve">PTD250-12.5/4 </t>
  </si>
  <si>
    <t xml:space="preserve">PTD200-53/4 </t>
  </si>
  <si>
    <t xml:space="preserve">PTD200-50/4 </t>
  </si>
  <si>
    <t xml:space="preserve">PTD200-47/4 </t>
  </si>
  <si>
    <t xml:space="preserve">PTD200-43/4 </t>
  </si>
  <si>
    <t xml:space="preserve">PTD200-36/4 </t>
  </si>
  <si>
    <t xml:space="preserve">PTD200-32/4 </t>
  </si>
  <si>
    <t xml:space="preserve">PTD200-31/4 </t>
  </si>
  <si>
    <t xml:space="preserve">PTD200-27/4 </t>
  </si>
  <si>
    <t xml:space="preserve">PTD200-24/4 </t>
  </si>
  <si>
    <t xml:space="preserve">PTD200-23/4 </t>
  </si>
  <si>
    <t xml:space="preserve">PTD200-20/4 </t>
  </si>
  <si>
    <t xml:space="preserve">PTD200-18/4 </t>
  </si>
  <si>
    <t xml:space="preserve">PTD200-16/4 </t>
  </si>
  <si>
    <t xml:space="preserve">PTD200-12.5/4 </t>
  </si>
  <si>
    <t xml:space="preserve">PTD150-50/4 </t>
  </si>
  <si>
    <t xml:space="preserve">PTD150-40/4 </t>
  </si>
  <si>
    <t xml:space="preserve">PTD150-33/4 </t>
  </si>
  <si>
    <t xml:space="preserve">PTD150-25/4 </t>
  </si>
  <si>
    <t xml:space="preserve">PTD150-21/4 </t>
  </si>
  <si>
    <t xml:space="preserve">PTD150-17/4 </t>
  </si>
  <si>
    <t xml:space="preserve">PTD150-12.5/4 </t>
  </si>
  <si>
    <t xml:space="preserve">PTD125-48/4 </t>
  </si>
  <si>
    <t xml:space="preserve">PTD125-40/4 </t>
  </si>
  <si>
    <t xml:space="preserve">PTD125-32/4 </t>
  </si>
  <si>
    <t xml:space="preserve">PTD125-28/4 </t>
  </si>
  <si>
    <t xml:space="preserve">PTD125-22/4 </t>
  </si>
  <si>
    <t xml:space="preserve">PTD125-20/4 </t>
  </si>
  <si>
    <t xml:space="preserve">PTD125-18/4 </t>
  </si>
  <si>
    <t xml:space="preserve">PTD125-14/4 </t>
  </si>
  <si>
    <t xml:space="preserve">PTD125-11/4 </t>
  </si>
  <si>
    <t xml:space="preserve">PTD100-52/2 </t>
  </si>
  <si>
    <t xml:space="preserve">PTD100-48/2 </t>
  </si>
  <si>
    <t xml:space="preserve">PTD100-40/2 </t>
  </si>
  <si>
    <t xml:space="preserve">PTD100-33/2 </t>
  </si>
  <si>
    <t xml:space="preserve">PTD100-27/2 </t>
  </si>
  <si>
    <t xml:space="preserve">PTD100-22/2 </t>
  </si>
  <si>
    <t xml:space="preserve">PTD100-17/2 </t>
  </si>
  <si>
    <t xml:space="preserve">PTD100-15/2 </t>
  </si>
  <si>
    <t xml:space="preserve">PTD100-9/2 </t>
  </si>
  <si>
    <t xml:space="preserve">PTD80-67G/2 </t>
  </si>
  <si>
    <t xml:space="preserve">PTD80-54G/2 </t>
  </si>
  <si>
    <t xml:space="preserve">PTD80-48G/2 </t>
  </si>
  <si>
    <t xml:space="preserve">PTD80-47G/2 </t>
  </si>
  <si>
    <t xml:space="preserve">PTD80-41G/2 </t>
  </si>
  <si>
    <t xml:space="preserve">PTD80-38G/2 </t>
  </si>
  <si>
    <t xml:space="preserve">PTD80-32G/2 </t>
  </si>
  <si>
    <t xml:space="preserve">PTD80-29G/2 </t>
  </si>
  <si>
    <t xml:space="preserve">PTD80-23G/2 </t>
  </si>
  <si>
    <t xml:space="preserve">PTD80-18G/2 </t>
  </si>
  <si>
    <t xml:space="preserve">PTD80-13G/2 </t>
  </si>
  <si>
    <t xml:space="preserve">PTD65-85G/2 </t>
  </si>
  <si>
    <t xml:space="preserve">PTD65-68G/2 </t>
  </si>
  <si>
    <t xml:space="preserve">PTD65-61G/2 </t>
  </si>
  <si>
    <t xml:space="preserve">PTD65-51G/2 </t>
  </si>
  <si>
    <t xml:space="preserve">PTD65-48G/2 </t>
  </si>
  <si>
    <t xml:space="preserve">PTD65-41G/2 </t>
  </si>
  <si>
    <t xml:space="preserve">PTD65-37G/2 </t>
  </si>
  <si>
    <t xml:space="preserve">PTD65-34G/2 </t>
  </si>
  <si>
    <t xml:space="preserve">PTD65-30G/2 </t>
  </si>
  <si>
    <t xml:space="preserve">PTD65-22G/2 </t>
  </si>
  <si>
    <t xml:space="preserve">PTD65-20G/2 </t>
  </si>
  <si>
    <t xml:space="preserve">PTD65-15G/2 </t>
  </si>
  <si>
    <t xml:space="preserve">PTD50-81G/2 </t>
  </si>
  <si>
    <t xml:space="preserve">PTD50-80G/2 </t>
  </si>
  <si>
    <t xml:space="preserve">PTD50-70G/2 </t>
  </si>
  <si>
    <t xml:space="preserve">PTD50-60G/2 </t>
  </si>
  <si>
    <t xml:space="preserve">PTD50-59G/2 </t>
  </si>
  <si>
    <t xml:space="preserve">PTD50-50G/2 </t>
  </si>
  <si>
    <t xml:space="preserve">PTD50-49G/2 </t>
  </si>
  <si>
    <t xml:space="preserve">PTD50-40G/2 </t>
  </si>
  <si>
    <t xml:space="preserve">PTD50-39G/2 </t>
  </si>
  <si>
    <t xml:space="preserve">PTD50-35G/2 </t>
  </si>
  <si>
    <t xml:space="preserve">PTD50-32G/2 </t>
  </si>
  <si>
    <t xml:space="preserve">PTD50-28G/2 </t>
  </si>
  <si>
    <t xml:space="preserve">PTD50-24G/2 </t>
  </si>
  <si>
    <t xml:space="preserve">PTD50-18G/2 </t>
  </si>
  <si>
    <t xml:space="preserve">PTD50-15G/2 </t>
  </si>
  <si>
    <t xml:space="preserve">PTD50-12G/2 </t>
  </si>
  <si>
    <t xml:space="preserve">PTD40-48G/2 </t>
  </si>
  <si>
    <t xml:space="preserve">PTD40-36G/2 </t>
  </si>
  <si>
    <t xml:space="preserve">PTD40-30G/2 </t>
  </si>
  <si>
    <t xml:space="preserve">PTD40-26G/2 </t>
  </si>
  <si>
    <t xml:space="preserve">PTD40-20G/2 </t>
  </si>
  <si>
    <t>Моноблочные насосы - PSTG (2900 оборотов в мин., 50 Гц, защита IP 55)</t>
  </si>
  <si>
    <t>Моноблочные насосы - PST4 (1450 оборотов в мин., 50 Гц, защита IP 55)</t>
  </si>
  <si>
    <r>
      <t>Моноблочные насосы инлайн - PT</t>
    </r>
    <r>
      <rPr>
        <b/>
        <sz val="18"/>
        <rFont val="Calibri"/>
        <family val="2"/>
        <charset val="204"/>
      </rPr>
      <t xml:space="preserve"> (2900 оборотов в мин., 50 Гц, защита IP 55) </t>
    </r>
  </si>
  <si>
    <t>Моноблочные насосы из нерж. стали - PZ  (2900 оборотов в мин., 50 Гц, защита IP 55)</t>
  </si>
  <si>
    <t>Моноблочные насосы с резьбовыми патрубками - PC (2900 оборотов в мин., 50 Гц, защита IP 55)</t>
  </si>
  <si>
    <t xml:space="preserve">Инлайн насосы серии - PTD (2900 оборотов в мин., 50 Гц, защита IP 55) </t>
  </si>
  <si>
    <t>-15°C …+110°C</t>
  </si>
  <si>
    <t xml:space="preserve">PVT/S 1-2 </t>
  </si>
  <si>
    <t xml:space="preserve">PVT/S 1-3 </t>
  </si>
  <si>
    <t xml:space="preserve">PVT/S 1-4 </t>
  </si>
  <si>
    <t xml:space="preserve">PVT/S 1-5 </t>
  </si>
  <si>
    <t xml:space="preserve">PVT/S 1-6 </t>
  </si>
  <si>
    <t xml:space="preserve">PVT/S 1-7 </t>
  </si>
  <si>
    <t xml:space="preserve">PVT/S 1-8 </t>
  </si>
  <si>
    <t xml:space="preserve">PVT/S 1-9 </t>
  </si>
  <si>
    <t xml:space="preserve">PVT/S 1-10 </t>
  </si>
  <si>
    <t xml:space="preserve">PVT/S 1-11 </t>
  </si>
  <si>
    <t xml:space="preserve">PVT/S 1-12 </t>
  </si>
  <si>
    <t xml:space="preserve">PVT/S 1-13 </t>
  </si>
  <si>
    <t xml:space="preserve">PVT/S 1-15 </t>
  </si>
  <si>
    <t xml:space="preserve">PVT/S 1-17 </t>
  </si>
  <si>
    <t xml:space="preserve">PVT/S 1-19 </t>
  </si>
  <si>
    <t xml:space="preserve">PVT/S 1-21 </t>
  </si>
  <si>
    <t xml:space="preserve">PVT/S 1-23 </t>
  </si>
  <si>
    <t xml:space="preserve">PVT/S 1-25 </t>
  </si>
  <si>
    <t xml:space="preserve">PVT/S 1-27 </t>
  </si>
  <si>
    <t xml:space="preserve">PVT/S 1-30 </t>
  </si>
  <si>
    <t xml:space="preserve">PVT/S 1-33 </t>
  </si>
  <si>
    <t xml:space="preserve">PVT/S 1-36 </t>
  </si>
  <si>
    <t xml:space="preserve">PVT/S 2-2 </t>
  </si>
  <si>
    <t xml:space="preserve">PVT/S 2-3 </t>
  </si>
  <si>
    <t xml:space="preserve">PVT/S 2-4 </t>
  </si>
  <si>
    <t xml:space="preserve">PVT/S 2-5 </t>
  </si>
  <si>
    <t xml:space="preserve">PVT/S 2-6 </t>
  </si>
  <si>
    <t xml:space="preserve">PVT/S 2-7 </t>
  </si>
  <si>
    <t xml:space="preserve">PVT/S 2-9 </t>
  </si>
  <si>
    <t xml:space="preserve">PVT/S 2-11 </t>
  </si>
  <si>
    <t xml:space="preserve">PVT/S 2-13 </t>
  </si>
  <si>
    <t xml:space="preserve">PVT/S 2-15 </t>
  </si>
  <si>
    <t xml:space="preserve">PVT/S 2-18 </t>
  </si>
  <si>
    <t xml:space="preserve">PVT/S 2-22 </t>
  </si>
  <si>
    <t xml:space="preserve">PVT/S 2-26 </t>
  </si>
  <si>
    <t xml:space="preserve">PVT/S 3-2 </t>
  </si>
  <si>
    <t xml:space="preserve">PVT/S 3-3 </t>
  </si>
  <si>
    <t xml:space="preserve">PVT/S 3-4 </t>
  </si>
  <si>
    <t xml:space="preserve">PVT/S 3-5 </t>
  </si>
  <si>
    <t xml:space="preserve">PVT/S 3-6 </t>
  </si>
  <si>
    <t xml:space="preserve">PVT/S 3-7 </t>
  </si>
  <si>
    <t xml:space="preserve">PVT/S 3-8 </t>
  </si>
  <si>
    <t xml:space="preserve">PVT/S 3-9 </t>
  </si>
  <si>
    <t xml:space="preserve">PVT/S 3-10 </t>
  </si>
  <si>
    <t xml:space="preserve">PVT/S 3-11 </t>
  </si>
  <si>
    <t xml:space="preserve">PVT/S 3-12 </t>
  </si>
  <si>
    <t xml:space="preserve">PVT/S 3-13 </t>
  </si>
  <si>
    <t xml:space="preserve">PVT/S 3-15 </t>
  </si>
  <si>
    <t xml:space="preserve">PVT/S 3-17 </t>
  </si>
  <si>
    <t xml:space="preserve">PVT/S 3-19 </t>
  </si>
  <si>
    <t xml:space="preserve">PVT/S 90-60 </t>
  </si>
  <si>
    <t xml:space="preserve">PVT/S 90-60-2 </t>
  </si>
  <si>
    <t xml:space="preserve">PVT/S 90-50 </t>
  </si>
  <si>
    <t xml:space="preserve">PVT/S 90-50-2 </t>
  </si>
  <si>
    <t xml:space="preserve">PVT/S 90-40 </t>
  </si>
  <si>
    <t xml:space="preserve">PVT/S 90-40-2 </t>
  </si>
  <si>
    <t xml:space="preserve">PVT/S 90-30 </t>
  </si>
  <si>
    <t xml:space="preserve">PVT/S 90-30-2 </t>
  </si>
  <si>
    <t xml:space="preserve">PVT/S 90-20 </t>
  </si>
  <si>
    <t xml:space="preserve">PVT/S 90-20-2 </t>
  </si>
  <si>
    <t xml:space="preserve">PVT/S 90-10 </t>
  </si>
  <si>
    <t xml:space="preserve">PVT/S 90-10-1 </t>
  </si>
  <si>
    <t xml:space="preserve">PVT/S 64-80-1 </t>
  </si>
  <si>
    <t xml:space="preserve">PVT/S 64-80-2 </t>
  </si>
  <si>
    <t xml:space="preserve">PVT/S 64-70 </t>
  </si>
  <si>
    <t xml:space="preserve">PVT/S 64-70-1 </t>
  </si>
  <si>
    <t xml:space="preserve">PVT/S 64-70-2 </t>
  </si>
  <si>
    <t xml:space="preserve">PVT/S 64-60 </t>
  </si>
  <si>
    <t xml:space="preserve">PVT/S 64-60-1 </t>
  </si>
  <si>
    <t xml:space="preserve">PVT/S 64-60-2 </t>
  </si>
  <si>
    <t xml:space="preserve">PVT/S 64-50 </t>
  </si>
  <si>
    <t xml:space="preserve">PVT/S 64-50-1 </t>
  </si>
  <si>
    <t xml:space="preserve">PVT/S 64-50-2 </t>
  </si>
  <si>
    <t xml:space="preserve">PVT/S 64-40 </t>
  </si>
  <si>
    <t xml:space="preserve">PVT/S 64-40-1 </t>
  </si>
  <si>
    <t xml:space="preserve">PVT/S 64-40-2 </t>
  </si>
  <si>
    <t xml:space="preserve">PVT/S 64-30 </t>
  </si>
  <si>
    <t xml:space="preserve">PVT/S 64-30-1 </t>
  </si>
  <si>
    <t xml:space="preserve">PVT/S 64-30-2 </t>
  </si>
  <si>
    <t xml:space="preserve">PVT/S 64-20 </t>
  </si>
  <si>
    <t xml:space="preserve">PVT/S 64-20-1 </t>
  </si>
  <si>
    <t xml:space="preserve">PVT/S 64-20-2 </t>
  </si>
  <si>
    <t xml:space="preserve">PVT/S 64-10 </t>
  </si>
  <si>
    <t xml:space="preserve">PVT/S 64-10-1 </t>
  </si>
  <si>
    <t xml:space="preserve">PVT/S 45-130-2 </t>
  </si>
  <si>
    <t xml:space="preserve">PVT/S 45-120 </t>
  </si>
  <si>
    <t xml:space="preserve">PVT/S 45-120-2 </t>
  </si>
  <si>
    <t xml:space="preserve">PVT/S 45-110 </t>
  </si>
  <si>
    <t xml:space="preserve">PVT/S 45-110-2 </t>
  </si>
  <si>
    <t xml:space="preserve">PVT/S 45-100 </t>
  </si>
  <si>
    <t xml:space="preserve">PVT/S 45-100-2 </t>
  </si>
  <si>
    <t xml:space="preserve">PVT/S 45-90 </t>
  </si>
  <si>
    <t xml:space="preserve">PVT/S 45-90-2 </t>
  </si>
  <si>
    <t xml:space="preserve">PVT/S 45-80 </t>
  </si>
  <si>
    <t xml:space="preserve">PVT/S 45-80-2 </t>
  </si>
  <si>
    <t xml:space="preserve">PVT/S 45-70 </t>
  </si>
  <si>
    <t xml:space="preserve">PVT/S 45-70-2 </t>
  </si>
  <si>
    <t xml:space="preserve">PVT/S 45-60 </t>
  </si>
  <si>
    <t xml:space="preserve">PVT/S 45-60-2 </t>
  </si>
  <si>
    <t xml:space="preserve">PVT/S 45-50 </t>
  </si>
  <si>
    <t xml:space="preserve">PVT/S 45-50-2 </t>
  </si>
  <si>
    <t xml:space="preserve">PVT/S 45-40 </t>
  </si>
  <si>
    <t xml:space="preserve">PVT/S 45-40-2 </t>
  </si>
  <si>
    <t xml:space="preserve">PVT/S 45-30 </t>
  </si>
  <si>
    <t xml:space="preserve">PVT/S 45-30-2 </t>
  </si>
  <si>
    <t xml:space="preserve">PVT/S 45-20 </t>
  </si>
  <si>
    <t xml:space="preserve">PVT/S 45-20-2 </t>
  </si>
  <si>
    <t xml:space="preserve">PVT/S 45-10 </t>
  </si>
  <si>
    <t xml:space="preserve">PVT/S 45-10-1 </t>
  </si>
  <si>
    <t xml:space="preserve">PVT/S 32-160 </t>
  </si>
  <si>
    <t xml:space="preserve">PVT/S 32-160-2 </t>
  </si>
  <si>
    <t xml:space="preserve">PVT/S 32-150 </t>
  </si>
  <si>
    <t xml:space="preserve">PVT/S 32-150-2 </t>
  </si>
  <si>
    <t xml:space="preserve">PVT/S 32-140 </t>
  </si>
  <si>
    <t xml:space="preserve">PVT/S 32-140-2 </t>
  </si>
  <si>
    <t xml:space="preserve">PVT/S 32-130 </t>
  </si>
  <si>
    <t xml:space="preserve">PVT/S 32-130-2 </t>
  </si>
  <si>
    <t xml:space="preserve">PVT/S 32-120 </t>
  </si>
  <si>
    <t xml:space="preserve">PVT/S 32-120-2 </t>
  </si>
  <si>
    <t xml:space="preserve">PVT/S 32-110 </t>
  </si>
  <si>
    <t xml:space="preserve">PVT/S 32-110-2 </t>
  </si>
  <si>
    <t xml:space="preserve">PVT/S 32-100 </t>
  </si>
  <si>
    <t xml:space="preserve">PVT/S 32-100-2 </t>
  </si>
  <si>
    <t xml:space="preserve">PVT/S 32-90 </t>
  </si>
  <si>
    <t xml:space="preserve">PVT/S 32-90-2 </t>
  </si>
  <si>
    <t xml:space="preserve">PVT/S 32-80 </t>
  </si>
  <si>
    <t xml:space="preserve">PVT/S 32-80-2 </t>
  </si>
  <si>
    <t xml:space="preserve">PVT/S 32-70 </t>
  </si>
  <si>
    <t xml:space="preserve">PVT/S 32-70-2 </t>
  </si>
  <si>
    <t xml:space="preserve">PVT/S 32-60 </t>
  </si>
  <si>
    <t xml:space="preserve">PVT/S 32-60-2 </t>
  </si>
  <si>
    <t xml:space="preserve">PVT/S 32-50 </t>
  </si>
  <si>
    <t xml:space="preserve">PVT/S 32-50-2 </t>
  </si>
  <si>
    <t xml:space="preserve">PVT/S 32-40 </t>
  </si>
  <si>
    <t xml:space="preserve">PVT/S 32-40-2 </t>
  </si>
  <si>
    <t xml:space="preserve">PVT/S 32-30 </t>
  </si>
  <si>
    <t xml:space="preserve">PVT/S 32-30-2 </t>
  </si>
  <si>
    <t xml:space="preserve">PVT/S 32-20 </t>
  </si>
  <si>
    <t xml:space="preserve">PVT/S 32-20-2 </t>
  </si>
  <si>
    <t xml:space="preserve">PVT/S 32-10 </t>
  </si>
  <si>
    <t xml:space="preserve">PVT/S 32-10-1 </t>
  </si>
  <si>
    <t xml:space="preserve">PVT/S 20-17 </t>
  </si>
  <si>
    <t xml:space="preserve">PVT/S 20-14 </t>
  </si>
  <si>
    <t xml:space="preserve">PVT/S 20-12 </t>
  </si>
  <si>
    <t xml:space="preserve">PVT/S 20-10 </t>
  </si>
  <si>
    <t xml:space="preserve">PVT/S 20-8 </t>
  </si>
  <si>
    <t xml:space="preserve">PVT/S 20-7 </t>
  </si>
  <si>
    <t xml:space="preserve">PVT/S 20-6 </t>
  </si>
  <si>
    <t xml:space="preserve">PVT/S 20-5 </t>
  </si>
  <si>
    <t xml:space="preserve">PVT/S 20-4 </t>
  </si>
  <si>
    <t xml:space="preserve">PVT/S 20-3 </t>
  </si>
  <si>
    <t xml:space="preserve">PVT/S 20-2 </t>
  </si>
  <si>
    <t xml:space="preserve">PVT/S 20-1 </t>
  </si>
  <si>
    <t xml:space="preserve">PVT/S 16-16 </t>
  </si>
  <si>
    <t xml:space="preserve">PVT/S 16-14 </t>
  </si>
  <si>
    <t xml:space="preserve">PVT/S 16-12 </t>
  </si>
  <si>
    <t xml:space="preserve">PVT/S 16-10 </t>
  </si>
  <si>
    <t xml:space="preserve">PVT/S 16-8 </t>
  </si>
  <si>
    <t xml:space="preserve">PVT/S 16-7 </t>
  </si>
  <si>
    <t xml:space="preserve">PVT/S 16-6 </t>
  </si>
  <si>
    <t xml:space="preserve">PVT/S 16-5 </t>
  </si>
  <si>
    <t xml:space="preserve">PVT/S 16-4 </t>
  </si>
  <si>
    <t xml:space="preserve">PVT/S 16-3 </t>
  </si>
  <si>
    <t xml:space="preserve">PVT/S 16-2 </t>
  </si>
  <si>
    <t xml:space="preserve">PVT/S 12-18 </t>
  </si>
  <si>
    <t xml:space="preserve">PVT/S 12-16 </t>
  </si>
  <si>
    <t xml:space="preserve">PVT/S 12-14 </t>
  </si>
  <si>
    <t xml:space="preserve">PVT/S 12-12 </t>
  </si>
  <si>
    <t xml:space="preserve">PVT/S 3-21 </t>
  </si>
  <si>
    <t xml:space="preserve">PVT/S 3-23 </t>
  </si>
  <si>
    <t xml:space="preserve">PVT/S 3-25 </t>
  </si>
  <si>
    <t xml:space="preserve">PVT/S 3-27 </t>
  </si>
  <si>
    <t xml:space="preserve">PVT/S 3-29 </t>
  </si>
  <si>
    <t xml:space="preserve">PVT/S 3-31 </t>
  </si>
  <si>
    <t xml:space="preserve">PVT/S 3-33 </t>
  </si>
  <si>
    <t xml:space="preserve">PVT/S 3-36 </t>
  </si>
  <si>
    <t xml:space="preserve">PVT/S 4-2 </t>
  </si>
  <si>
    <t xml:space="preserve">PVT/S 4-3 </t>
  </si>
  <si>
    <t xml:space="preserve">PVT/S 4-4 </t>
  </si>
  <si>
    <t xml:space="preserve">PVT/S 4-5 </t>
  </si>
  <si>
    <t xml:space="preserve">PVT/S 4-6 </t>
  </si>
  <si>
    <t xml:space="preserve">PVT/S 4-7 </t>
  </si>
  <si>
    <t xml:space="preserve">PVT/S 4-8 </t>
  </si>
  <si>
    <t xml:space="preserve">PVT/S 4-10 </t>
  </si>
  <si>
    <t xml:space="preserve">PVT/S 4-12 </t>
  </si>
  <si>
    <t xml:space="preserve">PVT/S 4-14 </t>
  </si>
  <si>
    <t xml:space="preserve">PVT/S 4-16 </t>
  </si>
  <si>
    <t xml:space="preserve">PVT/S 4-19 </t>
  </si>
  <si>
    <t xml:space="preserve">PVT/S 4-22 </t>
  </si>
  <si>
    <t xml:space="preserve">PVT/S 8-2-1 </t>
  </si>
  <si>
    <t xml:space="preserve">PVT/S 8-2 </t>
  </si>
  <si>
    <t xml:space="preserve">PVT/S 8-3 </t>
  </si>
  <si>
    <t xml:space="preserve">PVT/S 8-4 </t>
  </si>
  <si>
    <t xml:space="preserve">PVT/S 8-5 </t>
  </si>
  <si>
    <t xml:space="preserve">PVT/S 8-6 </t>
  </si>
  <si>
    <t xml:space="preserve">PVT/S 8-8 </t>
  </si>
  <si>
    <t xml:space="preserve">PVT/S 8-10 </t>
  </si>
  <si>
    <t xml:space="preserve">PVT/S 8-12 </t>
  </si>
  <si>
    <t xml:space="preserve">PVT/S 8-14 </t>
  </si>
  <si>
    <t xml:space="preserve">PVT/S 8-16 </t>
  </si>
  <si>
    <t xml:space="preserve">PVT/S 8-18 </t>
  </si>
  <si>
    <t xml:space="preserve">PVT/S 8-20 </t>
  </si>
  <si>
    <t xml:space="preserve">PVT/S 10-1 </t>
  </si>
  <si>
    <t xml:space="preserve">PVT/S 10-2 </t>
  </si>
  <si>
    <t xml:space="preserve">PVT/S 10-3 </t>
  </si>
  <si>
    <t xml:space="preserve">PVT/S 10-4 </t>
  </si>
  <si>
    <t xml:space="preserve">PVT/S 10-5 </t>
  </si>
  <si>
    <t xml:space="preserve">PVT/S 10-6 </t>
  </si>
  <si>
    <t xml:space="preserve">PVT/S 10-7 </t>
  </si>
  <si>
    <t xml:space="preserve">PVT/S 10-8 </t>
  </si>
  <si>
    <t xml:space="preserve">PVT/S 10-9 </t>
  </si>
  <si>
    <t xml:space="preserve">PVT/S 10-10 </t>
  </si>
  <si>
    <t xml:space="preserve">PVT/S 10-12 </t>
  </si>
  <si>
    <t xml:space="preserve">PVT/S 10-14 </t>
  </si>
  <si>
    <t xml:space="preserve">PVT/S 10-16 </t>
  </si>
  <si>
    <t xml:space="preserve">PVT/S 10-18 </t>
  </si>
  <si>
    <t xml:space="preserve">PVT/S 10-20 </t>
  </si>
  <si>
    <t xml:space="preserve">PVT/S 10-22 </t>
  </si>
  <si>
    <t xml:space="preserve">PVT/S 12-2 </t>
  </si>
  <si>
    <t xml:space="preserve">PVT/S 12-3 </t>
  </si>
  <si>
    <t xml:space="preserve">PVT/S 12-4 </t>
  </si>
  <si>
    <t xml:space="preserve">PVT/S 12-5 </t>
  </si>
  <si>
    <t xml:space="preserve">PVT/S 12-6 </t>
  </si>
  <si>
    <t xml:space="preserve">PVT/S 12-7 </t>
  </si>
  <si>
    <t xml:space="preserve">PVT/S 12-8 </t>
  </si>
  <si>
    <t xml:space="preserve">PVT/S 12-9 </t>
  </si>
  <si>
    <t xml:space="preserve">PVT/S 12-10 </t>
  </si>
  <si>
    <t>100589421</t>
  </si>
  <si>
    <t>100589422</t>
  </si>
  <si>
    <t>100589423</t>
  </si>
  <si>
    <t>100589424</t>
  </si>
  <si>
    <t>100589425</t>
  </si>
  <si>
    <t>100589426</t>
  </si>
  <si>
    <t>100589427</t>
  </si>
  <si>
    <t>100589428</t>
  </si>
  <si>
    <t>100589429</t>
  </si>
  <si>
    <t>100589430</t>
  </si>
  <si>
    <t>100589431</t>
  </si>
  <si>
    <t>100589432</t>
  </si>
  <si>
    <t>100589433</t>
  </si>
  <si>
    <t>100589434</t>
  </si>
  <si>
    <t>100589435</t>
  </si>
  <si>
    <t>100589436</t>
  </si>
  <si>
    <t>100589437</t>
  </si>
  <si>
    <t>100589438</t>
  </si>
  <si>
    <t>100589439</t>
  </si>
  <si>
    <t>100589440</t>
  </si>
  <si>
    <t>100589441</t>
  </si>
  <si>
    <t>100589442</t>
  </si>
  <si>
    <t>100589443</t>
  </si>
  <si>
    <t>100589444</t>
  </si>
  <si>
    <t>100589445</t>
  </si>
  <si>
    <t>100589446</t>
  </si>
  <si>
    <t>100604012</t>
  </si>
  <si>
    <t>100604015</t>
  </si>
  <si>
    <t>100604044</t>
  </si>
  <si>
    <t>100600573</t>
  </si>
  <si>
    <t>100604045</t>
  </si>
  <si>
    <t>100604046</t>
  </si>
  <si>
    <t>100604047</t>
  </si>
  <si>
    <t>100604048</t>
  </si>
  <si>
    <t>PXZ 15-30-1.5</t>
  </si>
  <si>
    <t>PXZ 18-28-1.5</t>
  </si>
  <si>
    <t>PXZ 18-35-2.2</t>
  </si>
  <si>
    <t>PXZ 20-32-2.2</t>
  </si>
  <si>
    <t>PXZ 22-40-3</t>
  </si>
  <si>
    <t>PXZW 15-25-1.5</t>
  </si>
  <si>
    <t>PXZW 18-30-2.2</t>
  </si>
  <si>
    <t>PXZW 25-35-3</t>
  </si>
  <si>
    <t>100590609</t>
  </si>
  <si>
    <t>100590610</t>
  </si>
  <si>
    <t>100590611</t>
  </si>
  <si>
    <t>100590612</t>
  </si>
  <si>
    <t>100590613</t>
  </si>
  <si>
    <t>100602143</t>
  </si>
  <si>
    <t>100595509</t>
  </si>
  <si>
    <t>100590616</t>
  </si>
  <si>
    <t>100590615</t>
  </si>
  <si>
    <t>100590614</t>
  </si>
  <si>
    <t>100590617</t>
  </si>
  <si>
    <t>100590618</t>
  </si>
  <si>
    <t>100590619</t>
  </si>
  <si>
    <t>100590621</t>
  </si>
  <si>
    <t>100590620</t>
  </si>
  <si>
    <t>100590622</t>
  </si>
  <si>
    <t>100590624</t>
  </si>
  <si>
    <t>100590623</t>
  </si>
  <si>
    <t xml:space="preserve"> Насос с голым валом без двигателя, без муфты, без рамы</t>
  </si>
  <si>
    <t xml:space="preserve"> Насос на раме с двигателем</t>
  </si>
  <si>
    <t xml:space="preserve"> PC 5B</t>
  </si>
  <si>
    <t xml:space="preserve"> PC 5BM</t>
  </si>
  <si>
    <t xml:space="preserve"> PC 5AM</t>
  </si>
  <si>
    <t xml:space="preserve"> PC 220C</t>
  </si>
  <si>
    <t xml:space="preserve"> PC 220B</t>
  </si>
  <si>
    <t xml:space="preserve"> PC 680C</t>
  </si>
  <si>
    <t xml:space="preserve"> PC 680B</t>
  </si>
  <si>
    <t xml:space="preserve"> PC 6C</t>
  </si>
  <si>
    <t xml:space="preserve"> PC 6B</t>
  </si>
  <si>
    <t xml:space="preserve"> PC 6A</t>
  </si>
  <si>
    <t xml:space="preserve"> PC 6H</t>
  </si>
  <si>
    <t xml:space="preserve"> PC 560C</t>
  </si>
  <si>
    <t xml:space="preserve"> PC 560B</t>
  </si>
  <si>
    <t xml:space="preserve"> PC 560A</t>
  </si>
  <si>
    <t xml:space="preserve"> PC 8C</t>
  </si>
  <si>
    <t xml:space="preserve"> PC 8B</t>
  </si>
  <si>
    <t xml:space="preserve"> PC 625C</t>
  </si>
  <si>
    <t xml:space="preserve"> PC 625B</t>
  </si>
  <si>
    <t xml:space="preserve"> PC 625A</t>
  </si>
  <si>
    <t xml:space="preserve"> PC 660D</t>
  </si>
  <si>
    <t xml:space="preserve"> PC 660C</t>
  </si>
  <si>
    <t xml:space="preserve"> PC 660B</t>
  </si>
  <si>
    <t xml:space="preserve"> PC 660A</t>
  </si>
  <si>
    <t>Моноблочные насосы с двумя рабочими колесами - P2C (2900 оборотов в мин., 50 Гц, защита IP 55)</t>
  </si>
  <si>
    <t>PSTF</t>
  </si>
  <si>
    <t>/</t>
  </si>
  <si>
    <t>PSTF 32-250/110</t>
  </si>
  <si>
    <t>PSTF 32-250/150</t>
  </si>
  <si>
    <t>PSTF 40-250/110</t>
  </si>
  <si>
    <t>PSTF 40-250/150</t>
  </si>
  <si>
    <t>PSTF 40-250/185</t>
  </si>
  <si>
    <t>PSTF 50-200/110</t>
  </si>
  <si>
    <t>PSTF 50-200/150</t>
  </si>
  <si>
    <t>PSTF 50-250/150</t>
  </si>
  <si>
    <t>PSTF 50-250/185</t>
  </si>
  <si>
    <t>PSTF 50-250/220</t>
  </si>
  <si>
    <t>PSTF 65-160/110</t>
  </si>
  <si>
    <t>PSTF 65-160/150</t>
  </si>
  <si>
    <t>PSTF 65-200/150</t>
  </si>
  <si>
    <t>PSTF 65-200/185</t>
  </si>
  <si>
    <t>PSTF 65-200/220</t>
  </si>
  <si>
    <t>PSTF 65-250/220</t>
  </si>
  <si>
    <t>PSTF 65-250/300</t>
  </si>
  <si>
    <t>PSTF 65-250/370</t>
  </si>
  <si>
    <t>PSTF 65-315/450</t>
  </si>
  <si>
    <t>PSTF 80-160/110</t>
  </si>
  <si>
    <t>PSTF 80-160/150</t>
  </si>
  <si>
    <t>PSTF 80-160/185</t>
  </si>
  <si>
    <t>PSTF 80-160/220</t>
  </si>
  <si>
    <t>PSTF 80-200/220</t>
  </si>
  <si>
    <t>PSTF 80-200/300</t>
  </si>
  <si>
    <t>PSTF 80-250/370</t>
  </si>
  <si>
    <t>PSTF 80-250/450</t>
  </si>
  <si>
    <t>PSTF 80-315/450</t>
  </si>
  <si>
    <t>PSTF 100-160/150</t>
  </si>
  <si>
    <t>PSTF 100-160/185</t>
  </si>
  <si>
    <t>PSTF 100-160/220</t>
  </si>
  <si>
    <t>PSTF 100-200/220</t>
  </si>
  <si>
    <t>PSTF 100-200/300</t>
  </si>
  <si>
    <t>PSTF 100-200/370</t>
  </si>
  <si>
    <t>PSTF 100-250/450</t>
  </si>
  <si>
    <t>PSTF 125-200/450</t>
  </si>
  <si>
    <t>WQ-QG, WQV</t>
  </si>
  <si>
    <t>Механическое уплотнение - Карбид кремния / Углеграфит / Нержавеющая сталь 304</t>
  </si>
  <si>
    <t>25 бар</t>
  </si>
  <si>
    <t>Самовсасывающий насос для сточных вод на раме с электродвигателем</t>
  </si>
  <si>
    <t>0°C …+80°C</t>
  </si>
  <si>
    <t>pH</t>
  </si>
  <si>
    <t>5 - 10</t>
  </si>
  <si>
    <t xml:space="preserve">Максимальное рабочее давление </t>
  </si>
  <si>
    <t>6 бар</t>
  </si>
  <si>
    <t>Вертикальные многоступенчатые насосы - PVS, PVT  (2900 оборотов в мин., 50 Гц, защита IP 55)</t>
  </si>
  <si>
    <r>
      <t xml:space="preserve">Самовсасывающие центробежные насосы - PXZ </t>
    </r>
    <r>
      <rPr>
        <b/>
        <sz val="14"/>
        <rFont val="Calibri"/>
        <family val="2"/>
        <charset val="204"/>
      </rPr>
      <t xml:space="preserve"> (2900 оборотов в мин., 50 Гц, защита IP 55)</t>
    </r>
  </si>
  <si>
    <t>Самовсасывающие  насосы для сточных вод - PZWM (2900 оборотов в мин., 50 Гц, защита IP 55)</t>
  </si>
  <si>
    <t>Погружные канализационные насосы с режущим механизмом  WQ-QG, WQV, (2900 оборотов в мин., 50 Гц)</t>
  </si>
  <si>
    <t>Моноблочные насосы - PSTF (2900 оборотов в мин., 50 Гц, защита IP 55)</t>
  </si>
  <si>
    <t>Насос с голым валом, без рамы, без муфты, без двигателя</t>
  </si>
  <si>
    <t>Чугун с электрофорезным антикоррозийным покрытием</t>
  </si>
  <si>
    <t>Чугун HT200 с антикоррозийным покрытием</t>
  </si>
  <si>
    <t>Сталь  45# - 304</t>
  </si>
  <si>
    <t>Кабель</t>
  </si>
  <si>
    <t>8 м</t>
  </si>
  <si>
    <t>Ответный фланец под шланг</t>
  </si>
  <si>
    <t>В комплекте</t>
  </si>
  <si>
    <t>6 -10</t>
  </si>
  <si>
    <t>Плотность</t>
  </si>
  <si>
    <t>≤1.3*10³kg/m³</t>
  </si>
  <si>
    <t>Температура перекачиваемой среды</t>
  </si>
  <si>
    <t>≤40℃</t>
  </si>
  <si>
    <t xml:space="preserve">Полуоткрытое 2-лопастное </t>
  </si>
  <si>
    <t>Канальное закрытое</t>
  </si>
  <si>
    <t>Погружные канализационные насосы - WQA, (2900 оборотов в мин., 50 Гц)</t>
  </si>
  <si>
    <t>Погружные канализационные насосы - WQ, WQA, (2900 оборотов в мин., 50 Гц)</t>
  </si>
  <si>
    <t xml:space="preserve">P2C 25-140/11 </t>
  </si>
  <si>
    <t xml:space="preserve">P2C 25-140/15 </t>
  </si>
  <si>
    <t xml:space="preserve">P2C 25-160/11 </t>
  </si>
  <si>
    <t xml:space="preserve">P2C 25-160/15 </t>
  </si>
  <si>
    <t xml:space="preserve">P2C 25-160/22 </t>
  </si>
  <si>
    <t xml:space="preserve">P2C 32-200/30 </t>
  </si>
  <si>
    <t xml:space="preserve">P2C 32-200/40 </t>
  </si>
  <si>
    <t xml:space="preserve">P2C 32-210/55 </t>
  </si>
  <si>
    <t xml:space="preserve">P2C 32-210/75 </t>
  </si>
  <si>
    <t xml:space="preserve">P2C 40-210/55 </t>
  </si>
  <si>
    <t xml:space="preserve">P2C 40-210/75 </t>
  </si>
  <si>
    <t xml:space="preserve">P2C 50-180/40 </t>
  </si>
  <si>
    <t xml:space="preserve">P2C 50-180/55 </t>
  </si>
  <si>
    <t xml:space="preserve">P2C 50-180/75 </t>
  </si>
  <si>
    <t xml:space="preserve">P2C 40-200/92 </t>
  </si>
  <si>
    <t xml:space="preserve">P2C 40-200/110 </t>
  </si>
  <si>
    <t xml:space="preserve">P2C 50-200/92 </t>
  </si>
  <si>
    <t xml:space="preserve">P2C 50-200/110 </t>
  </si>
  <si>
    <t xml:space="preserve">P2C 40-250/130 </t>
  </si>
  <si>
    <t xml:space="preserve">P2C 40-250/150 </t>
  </si>
  <si>
    <t xml:space="preserve">P2C 40-250/185 </t>
  </si>
  <si>
    <t xml:space="preserve">P2C 40-250/220 </t>
  </si>
  <si>
    <t xml:space="preserve">P2C 50-250/130 </t>
  </si>
  <si>
    <t xml:space="preserve">P2C 50-250/150 </t>
  </si>
  <si>
    <t xml:space="preserve">P2C 50-250/185 </t>
  </si>
  <si>
    <t xml:space="preserve">P2C 50-250/220 </t>
  </si>
  <si>
    <t>D</t>
  </si>
  <si>
    <t>PVT 120-10</t>
  </si>
  <si>
    <t>PVT 120-20-2</t>
  </si>
  <si>
    <t>PVT 120-20-1</t>
  </si>
  <si>
    <t>PVT 120-20</t>
  </si>
  <si>
    <t>PVT 120-30-2</t>
  </si>
  <si>
    <t>PVT 120-30-1</t>
  </si>
  <si>
    <t>PVT 120-30</t>
  </si>
  <si>
    <t>PVT 120-40-2</t>
  </si>
  <si>
    <t>PVT 120-40-1</t>
  </si>
  <si>
    <t>PVT 120-40</t>
  </si>
  <si>
    <t>PVT 120-50-2</t>
  </si>
  <si>
    <t>PVT 120-50-1</t>
  </si>
  <si>
    <t>PVT 120-50</t>
  </si>
  <si>
    <t>PVT 120-60-2</t>
  </si>
  <si>
    <t>PVT 120-60-1</t>
  </si>
  <si>
    <t>PVT 120-60</t>
  </si>
  <si>
    <t>PVT 120-70-2</t>
  </si>
  <si>
    <t>PVT 120-70-1</t>
  </si>
  <si>
    <t>PVT 120-70</t>
  </si>
  <si>
    <t>PVT 150-10-1</t>
  </si>
  <si>
    <t>PVT 150-10</t>
  </si>
  <si>
    <t>PVT 150-20-2</t>
  </si>
  <si>
    <t>PVT 150-20-1</t>
  </si>
  <si>
    <t>PVT 150-20</t>
  </si>
  <si>
    <t>PVT 150-30-2</t>
  </si>
  <si>
    <t>PVT 150-30-1</t>
  </si>
  <si>
    <t>PVT 150-30</t>
  </si>
  <si>
    <t>PVT 150-40-2</t>
  </si>
  <si>
    <t>PVT 150-40-1</t>
  </si>
  <si>
    <t>PVT 150-40</t>
  </si>
  <si>
    <t>PVT 150-50-2</t>
  </si>
  <si>
    <t>PVT 150-50-1</t>
  </si>
  <si>
    <t>PVT 150-50</t>
  </si>
  <si>
    <t>PVT 150-60-2</t>
  </si>
  <si>
    <t>PVT 150-60-1</t>
  </si>
  <si>
    <t>PVT 150-60</t>
  </si>
  <si>
    <t>PVT 200-10-B</t>
  </si>
  <si>
    <t>PVT 200-10-A</t>
  </si>
  <si>
    <t>PVT 200-10</t>
  </si>
  <si>
    <t>PVT 200-20-ZB</t>
  </si>
  <si>
    <t>PVT 200-20-ZA</t>
  </si>
  <si>
    <t>PVT 200-20-A</t>
  </si>
  <si>
    <t>PVT 200-20</t>
  </si>
  <si>
    <t>PVT 200-30-ZB</t>
  </si>
  <si>
    <t>PVT 200-30-A-B</t>
  </si>
  <si>
    <t>PVT 200-30-ZA</t>
  </si>
  <si>
    <t>PVT 200-30-B</t>
  </si>
  <si>
    <t>PVT 200-30-A</t>
  </si>
  <si>
    <t>PVT 200-30</t>
  </si>
  <si>
    <t>PVT 200-40-ZB</t>
  </si>
  <si>
    <t>PVT 200-40-ZA</t>
  </si>
  <si>
    <t>PVT 200-40-A</t>
  </si>
  <si>
    <t>PVT 200-40</t>
  </si>
  <si>
    <t>Ответные фланцы не входят в комплект поставки</t>
  </si>
  <si>
    <t>с АТМ</t>
  </si>
  <si>
    <t>Донное присоединительное устройство (Автоматическая трубная муфта)</t>
  </si>
  <si>
    <t>АТМ</t>
  </si>
  <si>
    <t>(400/690В 50Гц)</t>
  </si>
  <si>
    <t>Все детали насоса соприкасающиеся с водой выполнены из нержавеющей стали 304</t>
  </si>
  <si>
    <t>Основание и верхняя крышка насоса - чугун, корпус и рабочие колеса - нержавеющая сталь - 304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</si>
</sst>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₽&quot;_-;\-* #,##0\ &quot;₽&quot;_-;_-* &quot;-&quot;\ &quot;₽&quot;_-;_-@_-"/>
    <numFmt numFmtId="164" formatCode="0.000_ "/>
    <numFmt numFmtId="165" formatCode="0.0_ "/>
    <numFmt numFmtId="166" formatCode="0_ "/>
    <numFmt numFmtId="167" formatCode="0.000"/>
  </numFmts>
  <fonts count="38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b/>
      <sz val="18"/>
      <color theme="8" tint="-0.249977111117893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indexed="1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305496"/>
      <name val="Calibri"/>
      <family val="2"/>
      <charset val="204"/>
      <scheme val="minor"/>
    </font>
    <font>
      <b/>
      <sz val="13"/>
      <color theme="8" tint="-0.24997711111789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sz val="9"/>
      <color theme="8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8"/>
      <name val="Calibri"/>
      <family val="2"/>
      <charset val="204"/>
    </font>
    <font>
      <b/>
      <sz val="11"/>
      <color theme="8" tint="-0.249977111117893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1"/>
      <color rgb="FF305496"/>
      <name val="Calibri"/>
      <family val="2"/>
      <charset val="204"/>
      <scheme val="minor"/>
    </font>
    <font>
      <b/>
      <sz val="13"/>
      <color theme="8" tint="-0.249977111117893"/>
      <name val="Verdana"/>
      <family val="2"/>
    </font>
    <font>
      <sz val="9"/>
      <color rgb="FF305496"/>
      <name val="Calibri"/>
      <family val="2"/>
      <charset val="204"/>
      <scheme val="minor"/>
    </font>
    <font>
      <sz val="12"/>
      <name val="Verdana"/>
      <family val="2"/>
    </font>
    <font>
      <sz val="11"/>
      <color indexed="10"/>
      <name val="Calibri"/>
      <family val="2"/>
      <charset val="204"/>
      <scheme val="minor"/>
    </font>
    <font>
      <sz val="12"/>
      <color indexed="10"/>
      <name val="Verdana"/>
      <family val="2"/>
    </font>
    <font>
      <b/>
      <sz val="11"/>
      <color rgb="FFDD0806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04">
    <border>
      <left/>
      <right/>
      <top/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thin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/>
      <right style="thin">
        <color theme="0" tint="-0.34998626667073579"/>
      </right>
      <top/>
      <bottom style="medium">
        <color indexed="55"/>
      </bottom>
      <diagonal/>
    </border>
    <border>
      <left style="thin">
        <color theme="0" tint="-0.34998626667073579"/>
      </left>
      <right/>
      <top/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thin">
        <color theme="0" tint="-0.34998626667073579"/>
      </left>
      <right/>
      <top style="medium">
        <color indexed="55"/>
      </top>
      <bottom style="medium">
        <color indexed="55"/>
      </bottom>
      <diagonal/>
    </border>
    <border>
      <left style="thin">
        <color theme="0" tint="-0.249977111117893"/>
      </left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thick">
        <color indexed="22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thick">
        <color indexed="22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thick">
        <color indexed="22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 style="medium">
        <color indexed="55"/>
      </left>
      <right style="thin">
        <color indexed="55"/>
      </right>
      <top/>
      <bottom/>
      <diagonal/>
    </border>
    <border>
      <left/>
      <right style="medium">
        <color rgb="FF969696"/>
      </right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55"/>
      </left>
      <right style="medium">
        <color theme="0" tint="-0.34998626667073579"/>
      </right>
      <top style="medium">
        <color indexed="55"/>
      </top>
      <bottom/>
      <diagonal/>
    </border>
    <border>
      <left style="medium">
        <color indexed="55"/>
      </left>
      <right style="medium">
        <color theme="0" tint="-0.34998626667073579"/>
      </right>
      <top/>
      <bottom/>
      <diagonal/>
    </border>
    <border>
      <left style="medium">
        <color indexed="55"/>
      </left>
      <right style="medium">
        <color theme="0" tint="-0.34998626667073579"/>
      </right>
      <top/>
      <bottom style="medium">
        <color indexed="55"/>
      </bottom>
      <diagonal/>
    </border>
    <border>
      <left/>
      <right style="medium">
        <color theme="0" tint="-0.34998626667073579"/>
      </right>
      <top style="medium">
        <color indexed="55"/>
      </top>
      <bottom style="thin">
        <color indexed="55"/>
      </bottom>
      <diagonal/>
    </border>
    <border>
      <left/>
      <right style="medium">
        <color theme="0" tint="-0.34998626667073579"/>
      </right>
      <top style="thin">
        <color indexed="55"/>
      </top>
      <bottom style="thin">
        <color indexed="55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indexed="55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indexed="55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indexed="55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10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/>
      <bottom style="medium">
        <color indexed="55"/>
      </bottom>
      <diagonal/>
    </border>
    <border>
      <left style="medium">
        <color indexed="55"/>
      </left>
      <right style="thin">
        <color theme="0" tint="-0.34998626667073579"/>
      </right>
      <top/>
      <bottom style="medium">
        <color indexed="55"/>
      </bottom>
      <diagonal/>
    </border>
    <border>
      <left style="medium">
        <color indexed="55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 style="thin">
        <color indexed="55"/>
      </top>
      <bottom/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thin">
        <color indexed="55"/>
      </top>
      <bottom style="thin">
        <color theme="0" tint="-0.3499862666707357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medium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theme="0" tint="-0.34998626667073579"/>
      </bottom>
      <diagonal/>
    </border>
    <border>
      <left/>
      <right/>
      <top style="medium">
        <color indexed="55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55"/>
      </top>
      <bottom style="medium">
        <color theme="0" tint="-0.34998626667073579"/>
      </bottom>
      <diagonal/>
    </border>
    <border>
      <left/>
      <right style="thin">
        <color indexed="55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medium">
        <color theme="0"/>
      </left>
      <right style="medium">
        <color indexed="55"/>
      </right>
      <top/>
      <bottom/>
      <diagonal/>
    </border>
    <border>
      <left style="medium">
        <color theme="0"/>
      </left>
      <right style="medium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 style="medium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 style="medium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/>
      <bottom/>
      <diagonal/>
    </border>
    <border>
      <left style="thin">
        <color indexed="55"/>
      </left>
      <right style="thin">
        <color theme="0" tint="-0.34998626667073579"/>
      </right>
      <top/>
      <bottom style="medium">
        <color indexed="55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theme="0" tint="-0.34998626667073579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13" fillId="0" borderId="0"/>
  </cellStyleXfs>
  <cellXfs count="433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NumberFormat="1" applyFont="1" applyFill="1" applyBorder="1" applyAlignmen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7" fillId="2" borderId="0" xfId="1" applyFont="1" applyFill="1" applyAlignment="1">
      <alignment horizontal="right" vertical="top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7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top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/>
    </xf>
    <xf numFmtId="0" fontId="18" fillId="4" borderId="19" xfId="0" applyNumberFormat="1" applyFont="1" applyFill="1" applyBorder="1" applyAlignment="1">
      <alignment horizontal="left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3" fontId="19" fillId="4" borderId="22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26" xfId="0" applyNumberFormat="1" applyFont="1" applyFill="1" applyBorder="1" applyAlignment="1">
      <alignment horizontal="center" vertical="center"/>
    </xf>
    <xf numFmtId="0" fontId="18" fillId="4" borderId="19" xfId="0" applyNumberFormat="1" applyFont="1" applyFill="1" applyBorder="1" applyAlignment="1">
      <alignment horizontal="left" vertical="center" wrapText="1"/>
    </xf>
    <xf numFmtId="0" fontId="18" fillId="0" borderId="19" xfId="0" applyNumberFormat="1" applyFont="1" applyFill="1" applyBorder="1" applyAlignment="1">
      <alignment horizontal="left" vertical="center"/>
    </xf>
    <xf numFmtId="3" fontId="21" fillId="0" borderId="22" xfId="0" applyNumberFormat="1" applyFont="1" applyFill="1" applyBorder="1" applyAlignment="1">
      <alignment horizontal="center" vertical="center"/>
    </xf>
    <xf numFmtId="3" fontId="19" fillId="0" borderId="22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5" borderId="27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vertical="center"/>
    </xf>
    <xf numFmtId="0" fontId="6" fillId="5" borderId="29" xfId="0" applyFont="1" applyFill="1" applyBorder="1" applyAlignment="1">
      <alignment vertical="center"/>
    </xf>
    <xf numFmtId="0" fontId="1" fillId="5" borderId="29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5" borderId="30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horizontal="left" vertical="center"/>
    </xf>
    <xf numFmtId="0" fontId="6" fillId="5" borderId="34" xfId="0" applyFont="1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6" fillId="5" borderId="3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Alignment="1">
      <alignment vertical="center"/>
    </xf>
    <xf numFmtId="0" fontId="17" fillId="2" borderId="0" xfId="0" applyNumberFormat="1" applyFont="1" applyFill="1" applyAlignment="1">
      <alignment horizontal="center" vertical="center"/>
    </xf>
    <xf numFmtId="0" fontId="2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8" xfId="0" applyNumberFormat="1" applyFont="1" applyFill="1" applyBorder="1" applyAlignment="1">
      <alignment horizontal="center" vertical="top"/>
    </xf>
    <xf numFmtId="0" fontId="11" fillId="2" borderId="10" xfId="0" applyNumberFormat="1" applyFont="1" applyFill="1" applyBorder="1" applyAlignment="1">
      <alignment horizontal="center" vertical="top"/>
    </xf>
    <xf numFmtId="0" fontId="12" fillId="2" borderId="0" xfId="0" applyNumberFormat="1" applyFont="1" applyFill="1" applyAlignment="1">
      <alignment horizontal="center" vertical="center"/>
    </xf>
    <xf numFmtId="0" fontId="6" fillId="2" borderId="20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center" vertical="center"/>
    </xf>
    <xf numFmtId="3" fontId="19" fillId="4" borderId="19" xfId="0" applyNumberFormat="1" applyFont="1" applyFill="1" applyBorder="1" applyAlignment="1">
      <alignment horizontal="center" vertical="center"/>
    </xf>
    <xf numFmtId="0" fontId="6" fillId="2" borderId="24" xfId="0" applyNumberFormat="1" applyFont="1" applyFill="1" applyBorder="1" applyAlignment="1">
      <alignment horizontal="center" vertical="center"/>
    </xf>
    <xf numFmtId="0" fontId="6" fillId="2" borderId="23" xfId="0" applyNumberFormat="1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8" fillId="2" borderId="19" xfId="0" applyNumberFormat="1" applyFont="1" applyFill="1" applyBorder="1" applyAlignment="1">
      <alignment horizontal="left" vertical="center"/>
    </xf>
    <xf numFmtId="3" fontId="19" fillId="2" borderId="19" xfId="0" applyNumberFormat="1" applyFont="1" applyFill="1" applyBorder="1" applyAlignment="1">
      <alignment horizontal="center" vertical="center"/>
    </xf>
    <xf numFmtId="3" fontId="19" fillId="2" borderId="2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18" fillId="4" borderId="23" xfId="0" applyNumberFormat="1" applyFont="1" applyFill="1" applyBorder="1" applyAlignment="1">
      <alignment horizontal="left" vertical="center"/>
    </xf>
    <xf numFmtId="0" fontId="6" fillId="2" borderId="21" xfId="0" applyNumberFormat="1" applyFont="1" applyFill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 vertical="center"/>
    </xf>
    <xf numFmtId="42" fontId="12" fillId="2" borderId="0" xfId="0" applyNumberFormat="1" applyFont="1" applyFill="1" applyAlignment="1">
      <alignment vertical="center"/>
    </xf>
    <xf numFmtId="0" fontId="18" fillId="0" borderId="23" xfId="0" applyNumberFormat="1" applyFont="1" applyFill="1" applyBorder="1" applyAlignment="1">
      <alignment horizontal="left" vertical="center"/>
    </xf>
    <xf numFmtId="0" fontId="18" fillId="2" borderId="23" xfId="0" applyNumberFormat="1" applyFont="1" applyFill="1" applyBorder="1" applyAlignment="1">
      <alignment horizontal="left" vertical="center"/>
    </xf>
    <xf numFmtId="3" fontId="6" fillId="2" borderId="23" xfId="0" applyNumberFormat="1" applyFont="1" applyFill="1" applyBorder="1" applyAlignment="1">
      <alignment horizontal="center"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top"/>
    </xf>
    <xf numFmtId="3" fontId="19" fillId="2" borderId="2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8" fillId="2" borderId="1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Alignment="1">
      <alignment vertical="center"/>
    </xf>
    <xf numFmtId="3" fontId="21" fillId="2" borderId="19" xfId="0" applyNumberFormat="1" applyFont="1" applyFill="1" applyBorder="1" applyAlignment="1">
      <alignment horizontal="center" vertical="center"/>
    </xf>
    <xf numFmtId="0" fontId="18" fillId="2" borderId="38" xfId="0" applyNumberFormat="1" applyFont="1" applyFill="1" applyBorder="1" applyAlignment="1">
      <alignment horizontal="left" vertical="center"/>
    </xf>
    <xf numFmtId="0" fontId="6" fillId="2" borderId="39" xfId="0" applyNumberFormat="1" applyFont="1" applyFill="1" applyBorder="1" applyAlignment="1">
      <alignment horizontal="center" vertical="center"/>
    </xf>
    <xf numFmtId="0" fontId="6" fillId="2" borderId="38" xfId="0" applyNumberFormat="1" applyFont="1" applyFill="1" applyBorder="1" applyAlignment="1">
      <alignment horizontal="center" vertical="center"/>
    </xf>
    <xf numFmtId="0" fontId="6" fillId="2" borderId="40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164" fontId="6" fillId="2" borderId="22" xfId="0" applyNumberFormat="1" applyFont="1" applyFill="1" applyBorder="1" applyAlignment="1">
      <alignment horizontal="center" vertical="center"/>
    </xf>
    <xf numFmtId="3" fontId="21" fillId="2" borderId="22" xfId="0" applyNumberFormat="1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center"/>
    </xf>
    <xf numFmtId="3" fontId="19" fillId="0" borderId="19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3" fontId="19" fillId="2" borderId="41" xfId="0" applyNumberFormat="1" applyFont="1" applyFill="1" applyBorder="1" applyAlignment="1">
      <alignment horizontal="center" vertical="center"/>
    </xf>
    <xf numFmtId="1" fontId="26" fillId="2" borderId="2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" fontId="26" fillId="4" borderId="23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24" fillId="2" borderId="0" xfId="0" applyNumberFormat="1" applyFont="1" applyFill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30" fillId="2" borderId="0" xfId="0" applyNumberFormat="1" applyFont="1" applyFill="1" applyAlignment="1">
      <alignment vertical="center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2" borderId="5" xfId="0" applyNumberFormat="1" applyFont="1" applyFill="1" applyBorder="1" applyAlignment="1">
      <alignment horizontal="center" vertical="center"/>
    </xf>
    <xf numFmtId="0" fontId="18" fillId="2" borderId="36" xfId="0" applyNumberFormat="1" applyFont="1" applyFill="1" applyBorder="1" applyAlignment="1">
      <alignment horizontal="center" vertical="center"/>
    </xf>
    <xf numFmtId="0" fontId="18" fillId="2" borderId="7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0" fillId="2" borderId="0" xfId="0" applyNumberFormat="1" applyFont="1" applyFill="1" applyBorder="1" applyAlignment="1">
      <alignment vertical="center"/>
    </xf>
    <xf numFmtId="0" fontId="18" fillId="2" borderId="10" xfId="0" applyNumberFormat="1" applyFont="1" applyFill="1" applyBorder="1" applyAlignment="1">
      <alignment horizontal="center" vertical="center"/>
    </xf>
    <xf numFmtId="0" fontId="18" fillId="2" borderId="43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8" fillId="2" borderId="0" xfId="0" applyNumberFormat="1" applyFont="1" applyFill="1" applyBorder="1" applyAlignment="1">
      <alignment horizontal="center" vertical="center"/>
    </xf>
    <xf numFmtId="0" fontId="31" fillId="2" borderId="0" xfId="0" applyNumberFormat="1" applyFont="1" applyFill="1" applyAlignment="1">
      <alignment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18" fillId="2" borderId="14" xfId="0" applyNumberFormat="1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0" fontId="18" fillId="2" borderId="15" xfId="0" applyNumberFormat="1" applyFont="1" applyFill="1" applyBorder="1" applyAlignment="1">
      <alignment horizontal="center" vertical="center"/>
    </xf>
    <xf numFmtId="0" fontId="18" fillId="2" borderId="16" xfId="0" applyNumberFormat="1" applyFont="1" applyFill="1" applyBorder="1" applyAlignment="1">
      <alignment horizontal="center" vertical="center"/>
    </xf>
    <xf numFmtId="0" fontId="18" fillId="2" borderId="17" xfId="0" applyNumberFormat="1" applyFont="1" applyFill="1" applyBorder="1" applyAlignment="1">
      <alignment horizontal="center" vertical="center"/>
    </xf>
    <xf numFmtId="0" fontId="18" fillId="2" borderId="18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32" fillId="2" borderId="0" xfId="0" applyNumberFormat="1" applyFont="1" applyFill="1" applyAlignment="1">
      <alignment horizontal="left" vertical="center" wrapText="1"/>
    </xf>
    <xf numFmtId="0" fontId="33" fillId="2" borderId="0" xfId="0" applyNumberFormat="1" applyFont="1" applyFill="1" applyAlignment="1">
      <alignment horizontal="right" vertical="center"/>
    </xf>
    <xf numFmtId="3" fontId="19" fillId="4" borderId="19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8" fillId="0" borderId="19" xfId="0" applyNumberFormat="1" applyFont="1" applyFill="1" applyBorder="1" applyAlignment="1">
      <alignment horizontal="left" vertical="center" wrapText="1"/>
    </xf>
    <xf numFmtId="3" fontId="19" fillId="4" borderId="1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1" fillId="2" borderId="46" xfId="0" applyNumberFormat="1" applyFont="1" applyFill="1" applyBorder="1" applyAlignment="1">
      <alignment horizontal="center" vertical="top" wrapText="1"/>
    </xf>
    <xf numFmtId="0" fontId="11" fillId="2" borderId="47" xfId="0" applyNumberFormat="1" applyFont="1" applyFill="1" applyBorder="1" applyAlignment="1">
      <alignment horizontal="center" vertical="top"/>
    </xf>
    <xf numFmtId="0" fontId="1" fillId="2" borderId="48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2" borderId="19" xfId="0" applyNumberFormat="1" applyFont="1" applyFill="1" applyBorder="1" applyAlignment="1">
      <alignment horizontal="center" vertical="center"/>
    </xf>
    <xf numFmtId="0" fontId="18" fillId="2" borderId="10" xfId="0" applyNumberFormat="1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left" vertical="center"/>
    </xf>
    <xf numFmtId="0" fontId="6" fillId="5" borderId="50" xfId="0" applyFont="1" applyFill="1" applyBorder="1" applyAlignment="1">
      <alignment horizontal="left" vertical="center"/>
    </xf>
    <xf numFmtId="0" fontId="16" fillId="2" borderId="54" xfId="0" applyFont="1" applyFill="1" applyBorder="1" applyAlignment="1">
      <alignment horizontal="center" vertical="top"/>
    </xf>
    <xf numFmtId="0" fontId="11" fillId="2" borderId="56" xfId="0" applyNumberFormat="1" applyFont="1" applyFill="1" applyBorder="1" applyAlignment="1">
      <alignment horizontal="center" vertical="center"/>
    </xf>
    <xf numFmtId="3" fontId="19" fillId="4" borderId="57" xfId="0" applyNumberFormat="1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3" fontId="19" fillId="2" borderId="59" xfId="0" applyNumberFormat="1" applyFont="1" applyFill="1" applyBorder="1" applyAlignment="1">
      <alignment horizontal="center" vertical="center"/>
    </xf>
    <xf numFmtId="0" fontId="11" fillId="2" borderId="60" xfId="0" applyNumberFormat="1" applyFont="1" applyFill="1" applyBorder="1" applyAlignment="1">
      <alignment horizontal="center" vertical="center"/>
    </xf>
    <xf numFmtId="3" fontId="19" fillId="4" borderId="59" xfId="0" applyNumberFormat="1" applyFont="1" applyFill="1" applyBorder="1" applyAlignment="1">
      <alignment horizontal="center" vertical="center"/>
    </xf>
    <xf numFmtId="3" fontId="19" fillId="6" borderId="59" xfId="0" applyNumberFormat="1" applyFont="1" applyFill="1" applyBorder="1" applyAlignment="1">
      <alignment horizontal="center" vertical="center"/>
    </xf>
    <xf numFmtId="0" fontId="19" fillId="6" borderId="59" xfId="0" applyNumberFormat="1" applyFont="1" applyFill="1" applyBorder="1" applyAlignment="1">
      <alignment horizontal="center" vertical="center"/>
    </xf>
    <xf numFmtId="0" fontId="1" fillId="2" borderId="61" xfId="0" applyNumberFormat="1" applyFont="1" applyFill="1" applyBorder="1" applyAlignment="1">
      <alignment horizontal="center" vertical="center"/>
    </xf>
    <xf numFmtId="0" fontId="6" fillId="2" borderId="62" xfId="0" applyNumberFormat="1" applyFont="1" applyFill="1" applyBorder="1" applyAlignment="1">
      <alignment horizontal="center" vertical="center"/>
    </xf>
    <xf numFmtId="0" fontId="6" fillId="6" borderId="62" xfId="0" applyNumberFormat="1" applyFont="1" applyFill="1" applyBorder="1" applyAlignment="1">
      <alignment horizontal="center" vertical="center"/>
    </xf>
    <xf numFmtId="0" fontId="6" fillId="4" borderId="62" xfId="0" applyNumberFormat="1" applyFont="1" applyFill="1" applyBorder="1" applyAlignment="1">
      <alignment horizontal="center" vertical="center"/>
    </xf>
    <xf numFmtId="0" fontId="6" fillId="4" borderId="52" xfId="0" applyNumberFormat="1" applyFont="1" applyFill="1" applyBorder="1" applyAlignment="1">
      <alignment horizontal="center" vertical="center"/>
    </xf>
    <xf numFmtId="0" fontId="6" fillId="4" borderId="52" xfId="0" applyNumberFormat="1" applyFont="1" applyFill="1" applyBorder="1" applyAlignment="1">
      <alignment horizontal="center" vertical="center" wrapText="1"/>
    </xf>
    <xf numFmtId="0" fontId="6" fillId="0" borderId="5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6" borderId="22" xfId="0" applyNumberFormat="1" applyFont="1" applyFill="1" applyBorder="1" applyAlignment="1">
      <alignment horizontal="center" vertical="center"/>
    </xf>
    <xf numFmtId="3" fontId="19" fillId="0" borderId="57" xfId="0" applyNumberFormat="1" applyFont="1" applyFill="1" applyBorder="1" applyAlignment="1">
      <alignment horizontal="center" vertical="center"/>
    </xf>
    <xf numFmtId="0" fontId="1" fillId="2" borderId="55" xfId="0" applyNumberFormat="1" applyFont="1" applyFill="1" applyBorder="1" applyAlignment="1">
      <alignment horizontal="center" vertical="center"/>
    </xf>
    <xf numFmtId="0" fontId="1" fillId="2" borderId="51" xfId="0" applyNumberFormat="1" applyFont="1" applyFill="1" applyBorder="1" applyAlignment="1">
      <alignment horizontal="center" vertical="center"/>
    </xf>
    <xf numFmtId="0" fontId="6" fillId="2" borderId="52" xfId="0" applyNumberFormat="1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left" vertical="center"/>
    </xf>
    <xf numFmtId="0" fontId="6" fillId="5" borderId="65" xfId="0" applyFont="1" applyFill="1" applyBorder="1" applyAlignment="1">
      <alignment horizontal="left" vertical="center"/>
    </xf>
    <xf numFmtId="0" fontId="6" fillId="5" borderId="64" xfId="0" applyFont="1" applyFill="1" applyBorder="1" applyAlignment="1">
      <alignment vertical="center"/>
    </xf>
    <xf numFmtId="0" fontId="1" fillId="5" borderId="64" xfId="0" applyFont="1" applyFill="1" applyBorder="1" applyAlignment="1">
      <alignment vertical="center"/>
    </xf>
    <xf numFmtId="49" fontId="6" fillId="5" borderId="34" xfId="0" applyNumberFormat="1" applyFont="1" applyFill="1" applyBorder="1" applyAlignment="1">
      <alignment vertical="center"/>
    </xf>
    <xf numFmtId="0" fontId="6" fillId="6" borderId="59" xfId="0" applyNumberFormat="1" applyFont="1" applyFill="1" applyBorder="1" applyAlignment="1">
      <alignment horizontal="center" vertical="center"/>
    </xf>
    <xf numFmtId="0" fontId="22" fillId="2" borderId="58" xfId="0" applyFont="1" applyFill="1" applyBorder="1" applyAlignment="1">
      <alignment vertical="center"/>
    </xf>
    <xf numFmtId="1" fontId="6" fillId="0" borderId="24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34" fillId="2" borderId="24" xfId="0" applyNumberFormat="1" applyFont="1" applyFill="1" applyBorder="1" applyAlignment="1">
      <alignment horizontal="center" vertical="center"/>
    </xf>
    <xf numFmtId="1" fontId="34" fillId="0" borderId="24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3" fontId="21" fillId="2" borderId="23" xfId="0" applyNumberFormat="1" applyFont="1" applyFill="1" applyBorder="1" applyAlignment="1">
      <alignment horizontal="center" vertical="center"/>
    </xf>
    <xf numFmtId="3" fontId="19" fillId="0" borderId="59" xfId="0" applyNumberFormat="1" applyFont="1" applyFill="1" applyBorder="1" applyAlignment="1">
      <alignment horizontal="center" vertical="center"/>
    </xf>
    <xf numFmtId="3" fontId="21" fillId="2" borderId="59" xfId="0" applyNumberFormat="1" applyFont="1" applyFill="1" applyBorder="1" applyAlignment="1">
      <alignment horizontal="center" vertical="center"/>
    </xf>
    <xf numFmtId="0" fontId="6" fillId="0" borderId="62" xfId="0" applyNumberFormat="1" applyFont="1" applyFill="1" applyBorder="1" applyAlignment="1">
      <alignment horizontal="center" vertical="center"/>
    </xf>
    <xf numFmtId="3" fontId="19" fillId="0" borderId="52" xfId="0" applyNumberFormat="1" applyFont="1" applyFill="1" applyBorder="1" applyAlignment="1">
      <alignment horizontal="center" vertical="center"/>
    </xf>
    <xf numFmtId="165" fontId="19" fillId="0" borderId="52" xfId="0" applyNumberFormat="1" applyFont="1" applyFill="1" applyBorder="1" applyAlignment="1">
      <alignment horizontal="center" vertical="center"/>
    </xf>
    <xf numFmtId="3" fontId="21" fillId="2" borderId="52" xfId="0" applyNumberFormat="1" applyFont="1" applyFill="1" applyBorder="1" applyAlignment="1">
      <alignment horizontal="center" vertical="center"/>
    </xf>
    <xf numFmtId="3" fontId="26" fillId="2" borderId="23" xfId="0" applyNumberFormat="1" applyFont="1" applyFill="1" applyBorder="1" applyAlignment="1">
      <alignment horizontal="center" vertical="center"/>
    </xf>
    <xf numFmtId="3" fontId="26" fillId="4" borderId="23" xfId="0" applyNumberFormat="1" applyFont="1" applyFill="1" applyBorder="1" applyAlignment="1">
      <alignment horizontal="center" vertical="center"/>
    </xf>
    <xf numFmtId="3" fontId="26" fillId="2" borderId="59" xfId="0" applyNumberFormat="1" applyFont="1" applyFill="1" applyBorder="1" applyAlignment="1">
      <alignment horizontal="center" vertical="center"/>
    </xf>
    <xf numFmtId="3" fontId="26" fillId="4" borderId="59" xfId="0" applyNumberFormat="1" applyFont="1" applyFill="1" applyBorder="1" applyAlignment="1">
      <alignment horizontal="center" vertical="center"/>
    </xf>
    <xf numFmtId="165" fontId="19" fillId="6" borderId="59" xfId="0" applyNumberFormat="1" applyFont="1" applyFill="1" applyBorder="1" applyAlignment="1">
      <alignment horizontal="center" vertical="center"/>
    </xf>
    <xf numFmtId="3" fontId="21" fillId="6" borderId="59" xfId="0" applyNumberFormat="1" applyFont="1" applyFill="1" applyBorder="1" applyAlignment="1">
      <alignment horizontal="center" vertical="center"/>
    </xf>
    <xf numFmtId="3" fontId="26" fillId="6" borderId="59" xfId="0" applyNumberFormat="1" applyFont="1" applyFill="1" applyBorder="1" applyAlignment="1">
      <alignment horizontal="center" vertical="center"/>
    </xf>
    <xf numFmtId="0" fontId="35" fillId="2" borderId="59" xfId="0" applyNumberFormat="1" applyFont="1" applyFill="1" applyBorder="1" applyAlignment="1">
      <alignment horizontal="center" vertical="center"/>
    </xf>
    <xf numFmtId="0" fontId="6" fillId="6" borderId="20" xfId="0" applyNumberFormat="1" applyFont="1" applyFill="1" applyBorder="1" applyAlignment="1">
      <alignment horizontal="center" vertical="center"/>
    </xf>
    <xf numFmtId="0" fontId="6" fillId="6" borderId="19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6" borderId="23" xfId="0" applyNumberFormat="1" applyFont="1" applyFill="1" applyBorder="1" applyAlignment="1">
      <alignment horizontal="center" vertical="center"/>
    </xf>
    <xf numFmtId="164" fontId="6" fillId="6" borderId="26" xfId="0" applyNumberFormat="1" applyFont="1" applyFill="1" applyBorder="1" applyAlignment="1">
      <alignment horizontal="center" vertical="center"/>
    </xf>
    <xf numFmtId="3" fontId="26" fillId="2" borderId="22" xfId="0" applyNumberFormat="1" applyFont="1" applyFill="1" applyBorder="1" applyAlignment="1">
      <alignment horizontal="center" vertical="center"/>
    </xf>
    <xf numFmtId="3" fontId="26" fillId="4" borderId="22" xfId="0" applyNumberFormat="1" applyFont="1" applyFill="1" applyBorder="1" applyAlignment="1">
      <alignment horizontal="center" vertical="center"/>
    </xf>
    <xf numFmtId="3" fontId="28" fillId="2" borderId="2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8" fillId="2" borderId="54" xfId="0" applyNumberFormat="1" applyFont="1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1" fontId="19" fillId="2" borderId="59" xfId="0" applyNumberFormat="1" applyFont="1" applyFill="1" applyBorder="1" applyAlignment="1">
      <alignment horizontal="center" vertical="center"/>
    </xf>
    <xf numFmtId="3" fontId="19" fillId="2" borderId="52" xfId="0" applyNumberFormat="1" applyFont="1" applyFill="1" applyBorder="1" applyAlignment="1">
      <alignment horizontal="center" vertical="center"/>
    </xf>
    <xf numFmtId="1" fontId="19" fillId="2" borderId="52" xfId="0" applyNumberFormat="1" applyFont="1" applyFill="1" applyBorder="1" applyAlignment="1">
      <alignment horizontal="center" vertical="center"/>
    </xf>
    <xf numFmtId="1" fontId="19" fillId="2" borderId="24" xfId="0" applyNumberFormat="1" applyFont="1" applyFill="1" applyBorder="1" applyAlignment="1">
      <alignment horizontal="center" vertical="center"/>
    </xf>
    <xf numFmtId="1" fontId="19" fillId="0" borderId="24" xfId="0" applyNumberFormat="1" applyFont="1" applyFill="1" applyBorder="1" applyAlignment="1">
      <alignment horizontal="center" vertical="center"/>
    </xf>
    <xf numFmtId="1" fontId="19" fillId="6" borderId="24" xfId="0" applyNumberFormat="1" applyFont="1" applyFill="1" applyBorder="1" applyAlignment="1">
      <alignment horizontal="center" vertical="center"/>
    </xf>
    <xf numFmtId="1" fontId="6" fillId="2" borderId="62" xfId="0" applyNumberFormat="1" applyFont="1" applyFill="1" applyBorder="1" applyAlignment="1">
      <alignment horizontal="center" vertical="center"/>
    </xf>
    <xf numFmtId="1" fontId="6" fillId="6" borderId="62" xfId="0" applyNumberFormat="1" applyFont="1" applyFill="1" applyBorder="1" applyAlignment="1">
      <alignment horizontal="center" vertical="center"/>
    </xf>
    <xf numFmtId="3" fontId="19" fillId="0" borderId="62" xfId="0" applyNumberFormat="1" applyFont="1" applyFill="1" applyBorder="1" applyAlignment="1">
      <alignment horizontal="center" vertical="center"/>
    </xf>
    <xf numFmtId="0" fontId="6" fillId="2" borderId="61" xfId="0" applyNumberFormat="1" applyFont="1" applyFill="1" applyBorder="1" applyAlignment="1">
      <alignment horizontal="center" vertical="center"/>
    </xf>
    <xf numFmtId="3" fontId="19" fillId="2" borderId="57" xfId="0" applyNumberFormat="1" applyFont="1" applyFill="1" applyBorder="1" applyAlignment="1">
      <alignment horizontal="center" vertical="center"/>
    </xf>
    <xf numFmtId="3" fontId="25" fillId="6" borderId="57" xfId="0" applyNumberFormat="1" applyFont="1" applyFill="1" applyBorder="1" applyAlignment="1">
      <alignment horizontal="center" vertical="center"/>
    </xf>
    <xf numFmtId="3" fontId="25" fillId="6" borderId="22" xfId="0" applyNumberFormat="1" applyFont="1" applyFill="1" applyBorder="1" applyAlignment="1">
      <alignment horizontal="center" vertical="center"/>
    </xf>
    <xf numFmtId="3" fontId="25" fillId="6" borderId="41" xfId="0" applyNumberFormat="1" applyFont="1" applyFill="1" applyBorder="1" applyAlignment="1">
      <alignment horizontal="center" vertical="center"/>
    </xf>
    <xf numFmtId="3" fontId="19" fillId="6" borderId="57" xfId="0" applyNumberFormat="1" applyFont="1" applyFill="1" applyBorder="1" applyAlignment="1">
      <alignment horizontal="center" vertical="center"/>
    </xf>
    <xf numFmtId="1" fontId="21" fillId="6" borderId="52" xfId="0" applyNumberFormat="1" applyFont="1" applyFill="1" applyBorder="1" applyAlignment="1">
      <alignment horizontal="center" vertical="center"/>
    </xf>
    <xf numFmtId="3" fontId="21" fillId="6" borderId="19" xfId="0" applyNumberFormat="1" applyFont="1" applyFill="1" applyBorder="1" applyAlignment="1">
      <alignment horizontal="center" vertical="center"/>
    </xf>
    <xf numFmtId="0" fontId="18" fillId="6" borderId="19" xfId="0" applyNumberFormat="1" applyFont="1" applyFill="1" applyBorder="1" applyAlignment="1">
      <alignment horizontal="left" vertical="center"/>
    </xf>
    <xf numFmtId="0" fontId="18" fillId="6" borderId="23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9" fillId="2" borderId="0" xfId="0" applyNumberFormat="1" applyFont="1" applyFill="1" applyBorder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165" fontId="18" fillId="0" borderId="22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166" fontId="6" fillId="0" borderId="26" xfId="0" applyNumberFormat="1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vertical="center"/>
    </xf>
    <xf numFmtId="0" fontId="6" fillId="5" borderId="79" xfId="0" applyFont="1" applyFill="1" applyBorder="1" applyAlignment="1">
      <alignment vertical="center"/>
    </xf>
    <xf numFmtId="0" fontId="11" fillId="2" borderId="80" xfId="0" applyNumberFormat="1" applyFont="1" applyFill="1" applyBorder="1" applyAlignment="1">
      <alignment horizontal="center" vertical="top"/>
    </xf>
    <xf numFmtId="0" fontId="11" fillId="2" borderId="72" xfId="0" applyNumberFormat="1" applyFont="1" applyFill="1" applyBorder="1" applyAlignment="1">
      <alignment horizontal="center" vertical="top"/>
    </xf>
    <xf numFmtId="0" fontId="1" fillId="5" borderId="86" xfId="0" applyFont="1" applyFill="1" applyBorder="1" applyAlignment="1">
      <alignment vertical="center"/>
    </xf>
    <xf numFmtId="167" fontId="6" fillId="2" borderId="23" xfId="0" applyNumberFormat="1" applyFont="1" applyFill="1" applyBorder="1" applyAlignment="1">
      <alignment horizontal="center" vertical="center"/>
    </xf>
    <xf numFmtId="49" fontId="6" fillId="5" borderId="79" xfId="0" applyNumberFormat="1" applyFont="1" applyFill="1" applyBorder="1" applyAlignment="1">
      <alignment vertical="center"/>
    </xf>
    <xf numFmtId="0" fontId="6" fillId="5" borderId="79" xfId="0" applyFont="1" applyFill="1" applyBorder="1" applyAlignment="1">
      <alignment horizontal="left" vertical="center"/>
    </xf>
    <xf numFmtId="49" fontId="6" fillId="5" borderId="35" xfId="0" applyNumberFormat="1" applyFont="1" applyFill="1" applyBorder="1" applyAlignment="1">
      <alignment vertical="center"/>
    </xf>
    <xf numFmtId="0" fontId="6" fillId="2" borderId="90" xfId="0" applyFont="1" applyFill="1" applyBorder="1" applyAlignment="1">
      <alignment vertical="center"/>
    </xf>
    <xf numFmtId="0" fontId="6" fillId="5" borderId="93" xfId="0" applyFont="1" applyFill="1" applyBorder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37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2" borderId="13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49" fontId="6" fillId="5" borderId="76" xfId="0" applyNumberFormat="1" applyFont="1" applyFill="1" applyBorder="1" applyAlignment="1">
      <alignment vertical="center"/>
    </xf>
    <xf numFmtId="0" fontId="18" fillId="5" borderId="11" xfId="0" applyFont="1" applyFill="1" applyBorder="1" applyAlignment="1">
      <alignment horizontal="left" vertical="center"/>
    </xf>
    <xf numFmtId="0" fontId="22" fillId="2" borderId="90" xfId="0" applyFont="1" applyFill="1" applyBorder="1" applyAlignment="1">
      <alignment vertical="center"/>
    </xf>
    <xf numFmtId="0" fontId="1" fillId="2" borderId="90" xfId="0" applyFont="1" applyFill="1" applyBorder="1" applyAlignment="1">
      <alignment vertical="center"/>
    </xf>
    <xf numFmtId="0" fontId="11" fillId="2" borderId="45" xfId="0" applyNumberFormat="1" applyFont="1" applyFill="1" applyBorder="1" applyAlignment="1">
      <alignment horizontal="center" vertical="center"/>
    </xf>
    <xf numFmtId="0" fontId="6" fillId="0" borderId="94" xfId="0" applyFont="1" applyBorder="1" applyAlignment="1">
      <alignment horizontal="center" vertical="top"/>
    </xf>
    <xf numFmtId="0" fontId="6" fillId="0" borderId="95" xfId="0" applyFont="1" applyBorder="1" applyAlignment="1">
      <alignment horizontal="center" vertical="top"/>
    </xf>
    <xf numFmtId="0" fontId="11" fillId="2" borderId="81" xfId="0" applyNumberFormat="1" applyFont="1" applyFill="1" applyBorder="1" applyAlignment="1">
      <alignment horizontal="center" vertical="center"/>
    </xf>
    <xf numFmtId="3" fontId="19" fillId="4" borderId="96" xfId="0" applyNumberFormat="1" applyFont="1" applyFill="1" applyBorder="1" applyAlignment="1">
      <alignment horizontal="center" vertical="center"/>
    </xf>
    <xf numFmtId="3" fontId="19" fillId="2" borderId="96" xfId="0" applyNumberFormat="1" applyFont="1" applyFill="1" applyBorder="1" applyAlignment="1">
      <alignment horizontal="center" vertical="center"/>
    </xf>
    <xf numFmtId="3" fontId="21" fillId="2" borderId="96" xfId="0" applyNumberFormat="1" applyFont="1" applyFill="1" applyBorder="1" applyAlignment="1">
      <alignment horizontal="center" vertical="center"/>
    </xf>
    <xf numFmtId="3" fontId="19" fillId="0" borderId="96" xfId="0" applyNumberFormat="1" applyFont="1" applyFill="1" applyBorder="1" applyAlignment="1">
      <alignment horizontal="center" vertical="center"/>
    </xf>
    <xf numFmtId="0" fontId="11" fillId="2" borderId="98" xfId="0" applyNumberFormat="1" applyFont="1" applyFill="1" applyBorder="1" applyAlignment="1">
      <alignment horizontal="center" vertical="top" wrapText="1"/>
    </xf>
    <xf numFmtId="0" fontId="11" fillId="2" borderId="99" xfId="0" applyNumberFormat="1" applyFont="1" applyFill="1" applyBorder="1" applyAlignment="1">
      <alignment horizontal="center" vertical="top"/>
    </xf>
    <xf numFmtId="0" fontId="1" fillId="2" borderId="100" xfId="0" applyNumberFormat="1" applyFont="1" applyFill="1" applyBorder="1" applyAlignment="1">
      <alignment horizontal="center" vertical="center"/>
    </xf>
    <xf numFmtId="0" fontId="11" fillId="2" borderId="97" xfId="0" applyNumberFormat="1" applyFont="1" applyFill="1" applyBorder="1" applyAlignment="1">
      <alignment horizontal="center" vertical="top"/>
    </xf>
    <xf numFmtId="0" fontId="11" fillId="2" borderId="54" xfId="0" applyNumberFormat="1" applyFont="1" applyFill="1" applyBorder="1" applyAlignment="1">
      <alignment horizontal="center" vertical="top"/>
    </xf>
    <xf numFmtId="0" fontId="1" fillId="2" borderId="56" xfId="0" applyNumberFormat="1" applyFont="1" applyFill="1" applyBorder="1" applyAlignment="1">
      <alignment horizontal="center" vertical="center"/>
    </xf>
    <xf numFmtId="164" fontId="6" fillId="0" borderId="101" xfId="0" applyNumberFormat="1" applyFont="1" applyFill="1" applyBorder="1" applyAlignment="1">
      <alignment horizontal="center" vertical="center"/>
    </xf>
    <xf numFmtId="164" fontId="6" fillId="0" borderId="102" xfId="0" applyNumberFormat="1" applyFont="1" applyFill="1" applyBorder="1" applyAlignment="1">
      <alignment horizontal="center" vertical="center"/>
    </xf>
    <xf numFmtId="0" fontId="1" fillId="2" borderId="45" xfId="0" applyNumberFormat="1" applyFont="1" applyFill="1" applyBorder="1" applyAlignment="1">
      <alignment horizontal="center" vertical="center"/>
    </xf>
    <xf numFmtId="3" fontId="21" fillId="6" borderId="22" xfId="0" applyNumberFormat="1" applyFont="1" applyFill="1" applyBorder="1" applyAlignment="1">
      <alignment horizontal="center" vertical="center"/>
    </xf>
    <xf numFmtId="3" fontId="19" fillId="0" borderId="41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1" fillId="2" borderId="5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/>
    </xf>
    <xf numFmtId="0" fontId="11" fillId="3" borderId="6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4" fillId="2" borderId="3" xfId="0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6" fillId="2" borderId="9" xfId="0" applyFont="1" applyFill="1" applyBorder="1" applyAlignment="1">
      <alignment horizontal="center" vertical="top"/>
    </xf>
    <xf numFmtId="0" fontId="0" fillId="0" borderId="54" xfId="0" applyBorder="1" applyAlignment="1">
      <alignment horizont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3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top" wrapText="1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8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36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14" fillId="2" borderId="53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6" fillId="5" borderId="79" xfId="0" applyFont="1" applyFill="1" applyBorder="1" applyAlignment="1">
      <alignment vertical="center"/>
    </xf>
    <xf numFmtId="0" fontId="0" fillId="0" borderId="77" xfId="0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6" fillId="5" borderId="77" xfId="0" applyFont="1" applyFill="1" applyBorder="1" applyAlignment="1">
      <alignment horizontal="left" vertical="center"/>
    </xf>
    <xf numFmtId="0" fontId="0" fillId="0" borderId="78" xfId="0" applyBorder="1" applyAlignment="1">
      <alignment vertical="center"/>
    </xf>
    <xf numFmtId="0" fontId="6" fillId="5" borderId="83" xfId="0" applyFont="1" applyFill="1" applyBorder="1" applyAlignment="1">
      <alignment horizontal="left" vertical="center"/>
    </xf>
    <xf numFmtId="0" fontId="6" fillId="5" borderId="82" xfId="0" applyFont="1" applyFill="1" applyBorder="1" applyAlignment="1">
      <alignment horizontal="left" vertical="center"/>
    </xf>
    <xf numFmtId="0" fontId="6" fillId="5" borderId="64" xfId="0" applyFont="1" applyFill="1" applyBorder="1" applyAlignment="1">
      <alignment horizontal="left" vertical="center"/>
    </xf>
    <xf numFmtId="0" fontId="0" fillId="0" borderId="87" xfId="0" applyBorder="1" applyAlignment="1">
      <alignment vertical="center"/>
    </xf>
    <xf numFmtId="0" fontId="6" fillId="5" borderId="86" xfId="0" applyFont="1" applyFill="1" applyBorder="1" applyAlignment="1">
      <alignment horizontal="left" vertical="center"/>
    </xf>
    <xf numFmtId="0" fontId="0" fillId="0" borderId="89" xfId="0" applyBorder="1" applyAlignment="1">
      <alignment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3" borderId="98" xfId="0" applyNumberFormat="1" applyFont="1" applyFill="1" applyBorder="1" applyAlignment="1">
      <alignment horizontal="center" vertical="top" wrapText="1"/>
    </xf>
    <xf numFmtId="0" fontId="1" fillId="0" borderId="99" xfId="0" applyFont="1" applyBorder="1" applyAlignment="1">
      <alignment horizontal="center" vertical="top" wrapText="1"/>
    </xf>
    <xf numFmtId="0" fontId="0" fillId="0" borderId="30" xfId="0" applyBorder="1" applyAlignment="1">
      <alignment vertical="center"/>
    </xf>
    <xf numFmtId="0" fontId="0" fillId="0" borderId="97" xfId="0" applyBorder="1" applyAlignment="1">
      <alignment horizontal="center" vertical="top"/>
    </xf>
    <xf numFmtId="0" fontId="6" fillId="5" borderId="29" xfId="0" applyFont="1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88" xfId="0" applyBorder="1" applyAlignment="1">
      <alignment vertical="center"/>
    </xf>
    <xf numFmtId="0" fontId="6" fillId="5" borderId="84" xfId="0" applyFont="1" applyFill="1" applyBorder="1" applyAlignment="1">
      <alignment horizontal="left" vertical="center"/>
    </xf>
    <xf numFmtId="0" fontId="0" fillId="0" borderId="85" xfId="0" applyBorder="1" applyAlignment="1">
      <alignment vertical="center"/>
    </xf>
    <xf numFmtId="0" fontId="6" fillId="5" borderId="92" xfId="0" applyFont="1" applyFill="1" applyBorder="1" applyAlignment="1">
      <alignment horizontal="left" vertical="center"/>
    </xf>
    <xf numFmtId="0" fontId="0" fillId="0" borderId="9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18" fillId="2" borderId="2" xfId="0" applyNumberFormat="1" applyFont="1" applyFill="1" applyBorder="1" applyAlignment="1">
      <alignment horizontal="center" vertical="center"/>
    </xf>
    <xf numFmtId="0" fontId="18" fillId="2" borderId="8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2" borderId="9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6" fillId="4" borderId="66" xfId="0" applyNumberFormat="1" applyFont="1" applyFill="1" applyBorder="1" applyAlignment="1">
      <alignment horizontal="center" vertical="center"/>
    </xf>
    <xf numFmtId="1" fontId="0" fillId="4" borderId="73" xfId="0" applyNumberFormat="1" applyFill="1" applyBorder="1" applyAlignment="1">
      <alignment horizontal="center" vertical="center"/>
    </xf>
    <xf numFmtId="1" fontId="35" fillId="4" borderId="75" xfId="0" applyNumberFormat="1" applyFont="1" applyFill="1" applyBorder="1" applyAlignment="1">
      <alignment horizontal="center" vertical="center"/>
    </xf>
    <xf numFmtId="1" fontId="35" fillId="4" borderId="69" xfId="0" applyNumberFormat="1" applyFont="1" applyFill="1" applyBorder="1" applyAlignment="1">
      <alignment horizontal="center" vertical="center"/>
    </xf>
    <xf numFmtId="0" fontId="6" fillId="2" borderId="22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" fontId="6" fillId="0" borderId="66" xfId="0" applyNumberFormat="1" applyFont="1" applyFill="1" applyBorder="1" applyAlignment="1">
      <alignment horizontal="center" vertical="center"/>
    </xf>
    <xf numFmtId="1" fontId="0" fillId="0" borderId="73" xfId="0" applyNumberFormat="1" applyFill="1" applyBorder="1" applyAlignment="1">
      <alignment horizontal="center" vertical="center"/>
    </xf>
    <xf numFmtId="1" fontId="35" fillId="0" borderId="74" xfId="0" applyNumberFormat="1" applyFont="1" applyFill="1" applyBorder="1" applyAlignment="1">
      <alignment horizontal="center" vertical="center"/>
    </xf>
    <xf numFmtId="1" fontId="35" fillId="0" borderId="67" xfId="0" applyNumberFormat="1" applyFont="1" applyFill="1" applyBorder="1" applyAlignment="1">
      <alignment horizontal="center" vertical="center"/>
    </xf>
    <xf numFmtId="1" fontId="6" fillId="4" borderId="70" xfId="0" applyNumberFormat="1" applyFont="1" applyFill="1" applyBorder="1" applyAlignment="1">
      <alignment horizontal="center" vertical="center"/>
    </xf>
    <xf numFmtId="1" fontId="0" fillId="4" borderId="71" xfId="0" applyNumberFormat="1" applyFill="1" applyBorder="1" applyAlignment="1">
      <alignment horizontal="center" vertical="center"/>
    </xf>
    <xf numFmtId="1" fontId="35" fillId="4" borderId="68" xfId="0" applyNumberFormat="1" applyFont="1" applyFill="1" applyBorder="1" applyAlignment="1">
      <alignment horizontal="center" vertical="center"/>
    </xf>
    <xf numFmtId="1" fontId="35" fillId="4" borderId="54" xfId="0" applyNumberFormat="1" applyFont="1" applyFill="1" applyBorder="1" applyAlignment="1">
      <alignment horizontal="center" vertical="center"/>
    </xf>
    <xf numFmtId="0" fontId="18" fillId="2" borderId="42" xfId="0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2" borderId="42" xfId="0" applyNumberFormat="1" applyFont="1" applyFill="1" applyBorder="1" applyAlignment="1">
      <alignment horizontal="center" vertical="center"/>
    </xf>
    <xf numFmtId="0" fontId="18" fillId="2" borderId="45" xfId="0" applyNumberFormat="1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center" vertical="center"/>
    </xf>
    <xf numFmtId="1" fontId="0" fillId="4" borderId="72" xfId="0" applyNumberFormat="1" applyFill="1" applyBorder="1" applyAlignment="1">
      <alignment horizontal="center" vertical="center"/>
    </xf>
    <xf numFmtId="1" fontId="35" fillId="4" borderId="74" xfId="0" applyNumberFormat="1" applyFont="1" applyFill="1" applyBorder="1" applyAlignment="1">
      <alignment horizontal="center" vertical="center"/>
    </xf>
    <xf numFmtId="1" fontId="35" fillId="4" borderId="67" xfId="0" applyNumberFormat="1" applyFont="1" applyFill="1" applyBorder="1" applyAlignment="1">
      <alignment horizontal="center" vertical="center"/>
    </xf>
    <xf numFmtId="0" fontId="18" fillId="2" borderId="103" xfId="0" applyNumberFormat="1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8" fillId="2" borderId="3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37" fillId="2" borderId="3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2" borderId="8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7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8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357189</xdr:colOff>
      <xdr:row>1</xdr:row>
      <xdr:rowOff>164585</xdr:rowOff>
    </xdr:from>
    <xdr:to>
      <xdr:col>0</xdr:col>
      <xdr:colOff>2071687</xdr:colOff>
      <xdr:row>7</xdr:row>
      <xdr:rowOff>23812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9" y="366991"/>
          <a:ext cx="1714498" cy="131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345281</xdr:colOff>
      <xdr:row>1</xdr:row>
      <xdr:rowOff>166688</xdr:rowOff>
    </xdr:from>
    <xdr:to>
      <xdr:col>0</xdr:col>
      <xdr:colOff>2059779</xdr:colOff>
      <xdr:row>7</xdr:row>
      <xdr:rowOff>25915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369094"/>
          <a:ext cx="1714498" cy="131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76200</xdr:rowOff>
    </xdr:from>
    <xdr:to>
      <xdr:col>0</xdr:col>
      <xdr:colOff>1733550</xdr:colOff>
      <xdr:row>5</xdr:row>
      <xdr:rowOff>95250</xdr:rowOff>
    </xdr:to>
    <xdr:pic>
      <xdr:nvPicPr>
        <xdr:cNvPr id="2" name="图片 11" descr="图片6_conew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6200"/>
          <a:ext cx="11715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434228</xdr:colOff>
      <xdr:row>11</xdr:row>
      <xdr:rowOff>164726</xdr:rowOff>
    </xdr:from>
    <xdr:to>
      <xdr:col>0</xdr:col>
      <xdr:colOff>2082614</xdr:colOff>
      <xdr:row>16</xdr:row>
      <xdr:rowOff>160805</xdr:rowOff>
    </xdr:to>
    <xdr:pic>
      <xdr:nvPicPr>
        <xdr:cNvPr id="3" name="图片 12" descr="图片7_conew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228" y="2719667"/>
          <a:ext cx="1648386" cy="111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5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144263</xdr:rowOff>
    </xdr:from>
    <xdr:to>
      <xdr:col>0</xdr:col>
      <xdr:colOff>1866900</xdr:colOff>
      <xdr:row>5</xdr:row>
      <xdr:rowOff>219075</xdr:rowOff>
    </xdr:to>
    <xdr:pic>
      <xdr:nvPicPr>
        <xdr:cNvPr id="5" name="图片 66" descr="H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44288"/>
          <a:ext cx="1362075" cy="1046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7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164752</xdr:rowOff>
    </xdr:from>
    <xdr:to>
      <xdr:col>0</xdr:col>
      <xdr:colOff>1924050</xdr:colOff>
      <xdr:row>5</xdr:row>
      <xdr:rowOff>190500</xdr:rowOff>
    </xdr:to>
    <xdr:pic>
      <xdr:nvPicPr>
        <xdr:cNvPr id="2" name="图片 70" descr="H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64777"/>
          <a:ext cx="1419225" cy="101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81366</xdr:rowOff>
    </xdr:from>
    <xdr:to>
      <xdr:col>0</xdr:col>
      <xdr:colOff>2047875</xdr:colOff>
      <xdr:row>5</xdr:row>
      <xdr:rowOff>209550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1391"/>
          <a:ext cx="1800225" cy="111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</xdr:row>
      <xdr:rowOff>28575</xdr:rowOff>
    </xdr:from>
    <xdr:to>
      <xdr:col>2</xdr:col>
      <xdr:colOff>9525</xdr:colOff>
      <xdr:row>4</xdr:row>
      <xdr:rowOff>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28600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238123</xdr:colOff>
      <xdr:row>0</xdr:row>
      <xdr:rowOff>38099</xdr:rowOff>
    </xdr:from>
    <xdr:to>
      <xdr:col>0</xdr:col>
      <xdr:colOff>1957397</xdr:colOff>
      <xdr:row>5</xdr:row>
      <xdr:rowOff>400049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8123" y="38099"/>
          <a:ext cx="1719274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488158</xdr:colOff>
      <xdr:row>0</xdr:row>
      <xdr:rowOff>195262</xdr:rowOff>
    </xdr:from>
    <xdr:to>
      <xdr:col>0</xdr:col>
      <xdr:colOff>1726408</xdr:colOff>
      <xdr:row>7</xdr:row>
      <xdr:rowOff>11906</xdr:rowOff>
    </xdr:to>
    <xdr:pic>
      <xdr:nvPicPr>
        <xdr:cNvPr id="2" name="图片 65" descr="H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8" y="195262"/>
          <a:ext cx="1238250" cy="147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</xdr:row>
      <xdr:rowOff>0</xdr:rowOff>
    </xdr:from>
    <xdr:to>
      <xdr:col>0</xdr:col>
      <xdr:colOff>1590675</xdr:colOff>
      <xdr:row>7</xdr:row>
      <xdr:rowOff>57150</xdr:rowOff>
    </xdr:to>
    <xdr:pic>
      <xdr:nvPicPr>
        <xdr:cNvPr id="2" name="图片 3" descr="QQ图片201708171008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0025"/>
          <a:ext cx="942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47625</xdr:colOff>
      <xdr:row>0</xdr:row>
      <xdr:rowOff>171450</xdr:rowOff>
    </xdr:from>
    <xdr:to>
      <xdr:col>2</xdr:col>
      <xdr:colOff>333375</xdr:colOff>
      <xdr:row>3</xdr:row>
      <xdr:rowOff>180975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71450"/>
          <a:ext cx="2000250" cy="71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0</xdr:row>
      <xdr:rowOff>148469</xdr:rowOff>
    </xdr:from>
    <xdr:to>
      <xdr:col>0</xdr:col>
      <xdr:colOff>1885950</xdr:colOff>
      <xdr:row>7</xdr:row>
      <xdr:rowOff>85725</xdr:rowOff>
    </xdr:to>
    <xdr:pic>
      <xdr:nvPicPr>
        <xdr:cNvPr id="2" name="图片 2" descr="图片_conew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48469"/>
          <a:ext cx="504825" cy="1594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323850</xdr:colOff>
      <xdr:row>0</xdr:row>
      <xdr:rowOff>130522</xdr:rowOff>
    </xdr:from>
    <xdr:to>
      <xdr:col>0</xdr:col>
      <xdr:colOff>847725</xdr:colOff>
      <xdr:row>7</xdr:row>
      <xdr:rowOff>85725</xdr:rowOff>
    </xdr:to>
    <xdr:pic>
      <xdr:nvPicPr>
        <xdr:cNvPr id="3" name="图片 3" descr="图片2_conew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0522"/>
          <a:ext cx="523875" cy="161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5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95250</xdr:rowOff>
    </xdr:from>
    <xdr:to>
      <xdr:col>0</xdr:col>
      <xdr:colOff>1990725</xdr:colOff>
      <xdr:row>5</xdr:row>
      <xdr:rowOff>238125</xdr:rowOff>
    </xdr:to>
    <xdr:pic>
      <xdr:nvPicPr>
        <xdr:cNvPr id="6" name="图片 56" descr="H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95275"/>
          <a:ext cx="1647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8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371475</xdr:colOff>
      <xdr:row>0</xdr:row>
      <xdr:rowOff>190500</xdr:rowOff>
    </xdr:from>
    <xdr:to>
      <xdr:col>0</xdr:col>
      <xdr:colOff>1943100</xdr:colOff>
      <xdr:row>5</xdr:row>
      <xdr:rowOff>361950</xdr:rowOff>
    </xdr:to>
    <xdr:pic>
      <xdr:nvPicPr>
        <xdr:cNvPr id="4" name="图片 2" descr="H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0"/>
          <a:ext cx="15716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9525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495300</xdr:colOff>
      <xdr:row>1</xdr:row>
      <xdr:rowOff>57150</xdr:rowOff>
    </xdr:from>
    <xdr:to>
      <xdr:col>0</xdr:col>
      <xdr:colOff>1895475</xdr:colOff>
      <xdr:row>6</xdr:row>
      <xdr:rowOff>28575</xdr:rowOff>
    </xdr:to>
    <xdr:pic>
      <xdr:nvPicPr>
        <xdr:cNvPr id="4" name="图片 18" descr="图片3232322323_conew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57175"/>
          <a:ext cx="14001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314325</xdr:colOff>
      <xdr:row>11</xdr:row>
      <xdr:rowOff>66675</xdr:rowOff>
    </xdr:from>
    <xdr:to>
      <xdr:col>0</xdr:col>
      <xdr:colOff>2038350</xdr:colOff>
      <xdr:row>17</xdr:row>
      <xdr:rowOff>9525</xdr:rowOff>
    </xdr:to>
    <xdr:pic>
      <xdr:nvPicPr>
        <xdr:cNvPr id="5" name="图片 19" descr="312313232_conew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638425"/>
          <a:ext cx="17240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52</xdr:row>
      <xdr:rowOff>200025</xdr:rowOff>
    </xdr:from>
    <xdr:to>
      <xdr:col>0</xdr:col>
      <xdr:colOff>2114550</xdr:colOff>
      <xdr:row>62</xdr:row>
      <xdr:rowOff>28575</xdr:rowOff>
    </xdr:to>
    <xdr:pic>
      <xdr:nvPicPr>
        <xdr:cNvPr id="2" name="图片 20" descr="123213_conew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1763375"/>
          <a:ext cx="8001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314325</xdr:colOff>
      <xdr:row>53</xdr:row>
      <xdr:rowOff>200025</xdr:rowOff>
    </xdr:from>
    <xdr:to>
      <xdr:col>0</xdr:col>
      <xdr:colOff>1123950</xdr:colOff>
      <xdr:row>62</xdr:row>
      <xdr:rowOff>28575</xdr:rowOff>
    </xdr:to>
    <xdr:pic>
      <xdr:nvPicPr>
        <xdr:cNvPr id="3" name="图片 21" descr="图片_conew223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991975"/>
          <a:ext cx="809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847726</xdr:colOff>
      <xdr:row>0</xdr:row>
      <xdr:rowOff>95249</xdr:rowOff>
    </xdr:from>
    <xdr:to>
      <xdr:col>0</xdr:col>
      <xdr:colOff>1756173</xdr:colOff>
      <xdr:row>6</xdr:row>
      <xdr:rowOff>57149</xdr:rowOff>
    </xdr:to>
    <xdr:pic>
      <xdr:nvPicPr>
        <xdr:cNvPr id="4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95249"/>
          <a:ext cx="908447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9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74669</xdr:rowOff>
    </xdr:from>
    <xdr:to>
      <xdr:col>0</xdr:col>
      <xdr:colOff>1857375</xdr:colOff>
      <xdr:row>6</xdr:row>
      <xdr:rowOff>28574</xdr:rowOff>
    </xdr:to>
    <xdr:pic>
      <xdr:nvPicPr>
        <xdr:cNvPr id="5" name="图片 2" descr="1650865694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4669"/>
          <a:ext cx="1085850" cy="152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8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30"/>
  <sheetViews>
    <sheetView tabSelected="1" zoomScaleNormal="100" workbookViewId="0">
      <selection activeCell="C20" sqref="C20"/>
    </sheetView>
  </sheetViews>
  <sheetFormatPr defaultRowHeight="15.75" x14ac:dyDescent="0.25"/>
  <cols>
    <col min="1" max="1" width="34.28515625" style="1" customWidth="1"/>
    <col min="2" max="2" width="28.5703125" style="57" customWidth="1"/>
    <col min="3" max="6" width="8.5703125" style="56" customWidth="1"/>
    <col min="7" max="7" width="10.85546875" style="56" customWidth="1"/>
    <col min="8" max="8" width="14.28515625" style="177" customWidth="1"/>
    <col min="9" max="9" width="10.85546875" style="56" customWidth="1"/>
    <col min="10" max="10" width="14.28515625" style="169" customWidth="1"/>
    <col min="11" max="15" width="10.85546875" style="56" customWidth="1"/>
    <col min="16" max="69" width="9.140625" style="1"/>
    <col min="70" max="258" width="9.140625" style="56"/>
    <col min="259" max="259" width="34.28515625" style="56" customWidth="1"/>
    <col min="260" max="260" width="25.7109375" style="56" customWidth="1"/>
    <col min="261" max="264" width="8.5703125" style="56" customWidth="1"/>
    <col min="265" max="271" width="10.85546875" style="56" customWidth="1"/>
    <col min="272" max="514" width="9.140625" style="56"/>
    <col min="515" max="515" width="34.28515625" style="56" customWidth="1"/>
    <col min="516" max="516" width="25.7109375" style="56" customWidth="1"/>
    <col min="517" max="520" width="8.5703125" style="56" customWidth="1"/>
    <col min="521" max="527" width="10.85546875" style="56" customWidth="1"/>
    <col min="528" max="770" width="9.140625" style="56"/>
    <col min="771" max="771" width="34.28515625" style="56" customWidth="1"/>
    <col min="772" max="772" width="25.7109375" style="56" customWidth="1"/>
    <col min="773" max="776" width="8.5703125" style="56" customWidth="1"/>
    <col min="777" max="783" width="10.85546875" style="56" customWidth="1"/>
    <col min="784" max="1026" width="9.140625" style="56"/>
    <col min="1027" max="1027" width="34.28515625" style="56" customWidth="1"/>
    <col min="1028" max="1028" width="25.7109375" style="56" customWidth="1"/>
    <col min="1029" max="1032" width="8.5703125" style="56" customWidth="1"/>
    <col min="1033" max="1039" width="10.85546875" style="56" customWidth="1"/>
    <col min="1040" max="1282" width="9.140625" style="56"/>
    <col min="1283" max="1283" width="34.28515625" style="56" customWidth="1"/>
    <col min="1284" max="1284" width="25.7109375" style="56" customWidth="1"/>
    <col min="1285" max="1288" width="8.5703125" style="56" customWidth="1"/>
    <col min="1289" max="1295" width="10.85546875" style="56" customWidth="1"/>
    <col min="1296" max="1538" width="9.140625" style="56"/>
    <col min="1539" max="1539" width="34.28515625" style="56" customWidth="1"/>
    <col min="1540" max="1540" width="25.7109375" style="56" customWidth="1"/>
    <col min="1541" max="1544" width="8.5703125" style="56" customWidth="1"/>
    <col min="1545" max="1551" width="10.85546875" style="56" customWidth="1"/>
    <col min="1552" max="1794" width="9.140625" style="56"/>
    <col min="1795" max="1795" width="34.28515625" style="56" customWidth="1"/>
    <col min="1796" max="1796" width="25.7109375" style="56" customWidth="1"/>
    <col min="1797" max="1800" width="8.5703125" style="56" customWidth="1"/>
    <col min="1801" max="1807" width="10.85546875" style="56" customWidth="1"/>
    <col min="1808" max="2050" width="9.140625" style="56"/>
    <col min="2051" max="2051" width="34.28515625" style="56" customWidth="1"/>
    <col min="2052" max="2052" width="25.7109375" style="56" customWidth="1"/>
    <col min="2053" max="2056" width="8.5703125" style="56" customWidth="1"/>
    <col min="2057" max="2063" width="10.85546875" style="56" customWidth="1"/>
    <col min="2064" max="2306" width="9.140625" style="56"/>
    <col min="2307" max="2307" width="34.28515625" style="56" customWidth="1"/>
    <col min="2308" max="2308" width="25.7109375" style="56" customWidth="1"/>
    <col min="2309" max="2312" width="8.5703125" style="56" customWidth="1"/>
    <col min="2313" max="2319" width="10.85546875" style="56" customWidth="1"/>
    <col min="2320" max="2562" width="9.140625" style="56"/>
    <col min="2563" max="2563" width="34.28515625" style="56" customWidth="1"/>
    <col min="2564" max="2564" width="25.7109375" style="56" customWidth="1"/>
    <col min="2565" max="2568" width="8.5703125" style="56" customWidth="1"/>
    <col min="2569" max="2575" width="10.85546875" style="56" customWidth="1"/>
    <col min="2576" max="2818" width="9.140625" style="56"/>
    <col min="2819" max="2819" width="34.28515625" style="56" customWidth="1"/>
    <col min="2820" max="2820" width="25.7109375" style="56" customWidth="1"/>
    <col min="2821" max="2824" width="8.5703125" style="56" customWidth="1"/>
    <col min="2825" max="2831" width="10.85546875" style="56" customWidth="1"/>
    <col min="2832" max="3074" width="9.140625" style="56"/>
    <col min="3075" max="3075" width="34.28515625" style="56" customWidth="1"/>
    <col min="3076" max="3076" width="25.7109375" style="56" customWidth="1"/>
    <col min="3077" max="3080" width="8.5703125" style="56" customWidth="1"/>
    <col min="3081" max="3087" width="10.85546875" style="56" customWidth="1"/>
    <col min="3088" max="3330" width="9.140625" style="56"/>
    <col min="3331" max="3331" width="34.28515625" style="56" customWidth="1"/>
    <col min="3332" max="3332" width="25.7109375" style="56" customWidth="1"/>
    <col min="3333" max="3336" width="8.5703125" style="56" customWidth="1"/>
    <col min="3337" max="3343" width="10.85546875" style="56" customWidth="1"/>
    <col min="3344" max="3586" width="9.140625" style="56"/>
    <col min="3587" max="3587" width="34.28515625" style="56" customWidth="1"/>
    <col min="3588" max="3588" width="25.7109375" style="56" customWidth="1"/>
    <col min="3589" max="3592" width="8.5703125" style="56" customWidth="1"/>
    <col min="3593" max="3599" width="10.85546875" style="56" customWidth="1"/>
    <col min="3600" max="3842" width="9.140625" style="56"/>
    <col min="3843" max="3843" width="34.28515625" style="56" customWidth="1"/>
    <col min="3844" max="3844" width="25.7109375" style="56" customWidth="1"/>
    <col min="3845" max="3848" width="8.5703125" style="56" customWidth="1"/>
    <col min="3849" max="3855" width="10.85546875" style="56" customWidth="1"/>
    <col min="3856" max="4098" width="9.140625" style="56"/>
    <col min="4099" max="4099" width="34.28515625" style="56" customWidth="1"/>
    <col min="4100" max="4100" width="25.7109375" style="56" customWidth="1"/>
    <col min="4101" max="4104" width="8.5703125" style="56" customWidth="1"/>
    <col min="4105" max="4111" width="10.85546875" style="56" customWidth="1"/>
    <col min="4112" max="4354" width="9.140625" style="56"/>
    <col min="4355" max="4355" width="34.28515625" style="56" customWidth="1"/>
    <col min="4356" max="4356" width="25.7109375" style="56" customWidth="1"/>
    <col min="4357" max="4360" width="8.5703125" style="56" customWidth="1"/>
    <col min="4361" max="4367" width="10.85546875" style="56" customWidth="1"/>
    <col min="4368" max="4610" width="9.140625" style="56"/>
    <col min="4611" max="4611" width="34.28515625" style="56" customWidth="1"/>
    <col min="4612" max="4612" width="25.7109375" style="56" customWidth="1"/>
    <col min="4613" max="4616" width="8.5703125" style="56" customWidth="1"/>
    <col min="4617" max="4623" width="10.85546875" style="56" customWidth="1"/>
    <col min="4624" max="4866" width="9.140625" style="56"/>
    <col min="4867" max="4867" width="34.28515625" style="56" customWidth="1"/>
    <col min="4868" max="4868" width="25.7109375" style="56" customWidth="1"/>
    <col min="4869" max="4872" width="8.5703125" style="56" customWidth="1"/>
    <col min="4873" max="4879" width="10.85546875" style="56" customWidth="1"/>
    <col min="4880" max="5122" width="9.140625" style="56"/>
    <col min="5123" max="5123" width="34.28515625" style="56" customWidth="1"/>
    <col min="5124" max="5124" width="25.7109375" style="56" customWidth="1"/>
    <col min="5125" max="5128" width="8.5703125" style="56" customWidth="1"/>
    <col min="5129" max="5135" width="10.85546875" style="56" customWidth="1"/>
    <col min="5136" max="5378" width="9.140625" style="56"/>
    <col min="5379" max="5379" width="34.28515625" style="56" customWidth="1"/>
    <col min="5380" max="5380" width="25.7109375" style="56" customWidth="1"/>
    <col min="5381" max="5384" width="8.5703125" style="56" customWidth="1"/>
    <col min="5385" max="5391" width="10.85546875" style="56" customWidth="1"/>
    <col min="5392" max="5634" width="9.140625" style="56"/>
    <col min="5635" max="5635" width="34.28515625" style="56" customWidth="1"/>
    <col min="5636" max="5636" width="25.7109375" style="56" customWidth="1"/>
    <col min="5637" max="5640" width="8.5703125" style="56" customWidth="1"/>
    <col min="5641" max="5647" width="10.85546875" style="56" customWidth="1"/>
    <col min="5648" max="5890" width="9.140625" style="56"/>
    <col min="5891" max="5891" width="34.28515625" style="56" customWidth="1"/>
    <col min="5892" max="5892" width="25.7109375" style="56" customWidth="1"/>
    <col min="5893" max="5896" width="8.5703125" style="56" customWidth="1"/>
    <col min="5897" max="5903" width="10.85546875" style="56" customWidth="1"/>
    <col min="5904" max="6146" width="9.140625" style="56"/>
    <col min="6147" max="6147" width="34.28515625" style="56" customWidth="1"/>
    <col min="6148" max="6148" width="25.7109375" style="56" customWidth="1"/>
    <col min="6149" max="6152" width="8.5703125" style="56" customWidth="1"/>
    <col min="6153" max="6159" width="10.85546875" style="56" customWidth="1"/>
    <col min="6160" max="6402" width="9.140625" style="56"/>
    <col min="6403" max="6403" width="34.28515625" style="56" customWidth="1"/>
    <col min="6404" max="6404" width="25.7109375" style="56" customWidth="1"/>
    <col min="6405" max="6408" width="8.5703125" style="56" customWidth="1"/>
    <col min="6409" max="6415" width="10.85546875" style="56" customWidth="1"/>
    <col min="6416" max="6658" width="9.140625" style="56"/>
    <col min="6659" max="6659" width="34.28515625" style="56" customWidth="1"/>
    <col min="6660" max="6660" width="25.7109375" style="56" customWidth="1"/>
    <col min="6661" max="6664" width="8.5703125" style="56" customWidth="1"/>
    <col min="6665" max="6671" width="10.85546875" style="56" customWidth="1"/>
    <col min="6672" max="6914" width="9.140625" style="56"/>
    <col min="6915" max="6915" width="34.28515625" style="56" customWidth="1"/>
    <col min="6916" max="6916" width="25.7109375" style="56" customWidth="1"/>
    <col min="6917" max="6920" width="8.5703125" style="56" customWidth="1"/>
    <col min="6921" max="6927" width="10.85546875" style="56" customWidth="1"/>
    <col min="6928" max="7170" width="9.140625" style="56"/>
    <col min="7171" max="7171" width="34.28515625" style="56" customWidth="1"/>
    <col min="7172" max="7172" width="25.7109375" style="56" customWidth="1"/>
    <col min="7173" max="7176" width="8.5703125" style="56" customWidth="1"/>
    <col min="7177" max="7183" width="10.85546875" style="56" customWidth="1"/>
    <col min="7184" max="7426" width="9.140625" style="56"/>
    <col min="7427" max="7427" width="34.28515625" style="56" customWidth="1"/>
    <col min="7428" max="7428" width="25.7109375" style="56" customWidth="1"/>
    <col min="7429" max="7432" width="8.5703125" style="56" customWidth="1"/>
    <col min="7433" max="7439" width="10.85546875" style="56" customWidth="1"/>
    <col min="7440" max="7682" width="9.140625" style="56"/>
    <col min="7683" max="7683" width="34.28515625" style="56" customWidth="1"/>
    <col min="7684" max="7684" width="25.7109375" style="56" customWidth="1"/>
    <col min="7685" max="7688" width="8.5703125" style="56" customWidth="1"/>
    <col min="7689" max="7695" width="10.85546875" style="56" customWidth="1"/>
    <col min="7696" max="7938" width="9.140625" style="56"/>
    <col min="7939" max="7939" width="34.28515625" style="56" customWidth="1"/>
    <col min="7940" max="7940" width="25.7109375" style="56" customWidth="1"/>
    <col min="7941" max="7944" width="8.5703125" style="56" customWidth="1"/>
    <col min="7945" max="7951" width="10.85546875" style="56" customWidth="1"/>
    <col min="7952" max="8194" width="9.140625" style="56"/>
    <col min="8195" max="8195" width="34.28515625" style="56" customWidth="1"/>
    <col min="8196" max="8196" width="25.7109375" style="56" customWidth="1"/>
    <col min="8197" max="8200" width="8.5703125" style="56" customWidth="1"/>
    <col min="8201" max="8207" width="10.85546875" style="56" customWidth="1"/>
    <col min="8208" max="8450" width="9.140625" style="56"/>
    <col min="8451" max="8451" width="34.28515625" style="56" customWidth="1"/>
    <col min="8452" max="8452" width="25.7109375" style="56" customWidth="1"/>
    <col min="8453" max="8456" width="8.5703125" style="56" customWidth="1"/>
    <col min="8457" max="8463" width="10.85546875" style="56" customWidth="1"/>
    <col min="8464" max="8706" width="9.140625" style="56"/>
    <col min="8707" max="8707" width="34.28515625" style="56" customWidth="1"/>
    <col min="8708" max="8708" width="25.7109375" style="56" customWidth="1"/>
    <col min="8709" max="8712" width="8.5703125" style="56" customWidth="1"/>
    <col min="8713" max="8719" width="10.85546875" style="56" customWidth="1"/>
    <col min="8720" max="8962" width="9.140625" style="56"/>
    <col min="8963" max="8963" width="34.28515625" style="56" customWidth="1"/>
    <col min="8964" max="8964" width="25.7109375" style="56" customWidth="1"/>
    <col min="8965" max="8968" width="8.5703125" style="56" customWidth="1"/>
    <col min="8969" max="8975" width="10.85546875" style="56" customWidth="1"/>
    <col min="8976" max="9218" width="9.140625" style="56"/>
    <col min="9219" max="9219" width="34.28515625" style="56" customWidth="1"/>
    <col min="9220" max="9220" width="25.7109375" style="56" customWidth="1"/>
    <col min="9221" max="9224" width="8.5703125" style="56" customWidth="1"/>
    <col min="9225" max="9231" width="10.85546875" style="56" customWidth="1"/>
    <col min="9232" max="9474" width="9.140625" style="56"/>
    <col min="9475" max="9475" width="34.28515625" style="56" customWidth="1"/>
    <col min="9476" max="9476" width="25.7109375" style="56" customWidth="1"/>
    <col min="9477" max="9480" width="8.5703125" style="56" customWidth="1"/>
    <col min="9481" max="9487" width="10.85546875" style="56" customWidth="1"/>
    <col min="9488" max="9730" width="9.140625" style="56"/>
    <col min="9731" max="9731" width="34.28515625" style="56" customWidth="1"/>
    <col min="9732" max="9732" width="25.7109375" style="56" customWidth="1"/>
    <col min="9733" max="9736" width="8.5703125" style="56" customWidth="1"/>
    <col min="9737" max="9743" width="10.85546875" style="56" customWidth="1"/>
    <col min="9744" max="9986" width="9.140625" style="56"/>
    <col min="9987" max="9987" width="34.28515625" style="56" customWidth="1"/>
    <col min="9988" max="9988" width="25.7109375" style="56" customWidth="1"/>
    <col min="9989" max="9992" width="8.5703125" style="56" customWidth="1"/>
    <col min="9993" max="9999" width="10.85546875" style="56" customWidth="1"/>
    <col min="10000" max="10242" width="9.140625" style="56"/>
    <col min="10243" max="10243" width="34.28515625" style="56" customWidth="1"/>
    <col min="10244" max="10244" width="25.7109375" style="56" customWidth="1"/>
    <col min="10245" max="10248" width="8.5703125" style="56" customWidth="1"/>
    <col min="10249" max="10255" width="10.85546875" style="56" customWidth="1"/>
    <col min="10256" max="10498" width="9.140625" style="56"/>
    <col min="10499" max="10499" width="34.28515625" style="56" customWidth="1"/>
    <col min="10500" max="10500" width="25.7109375" style="56" customWidth="1"/>
    <col min="10501" max="10504" width="8.5703125" style="56" customWidth="1"/>
    <col min="10505" max="10511" width="10.85546875" style="56" customWidth="1"/>
    <col min="10512" max="10754" width="9.140625" style="56"/>
    <col min="10755" max="10755" width="34.28515625" style="56" customWidth="1"/>
    <col min="10756" max="10756" width="25.7109375" style="56" customWidth="1"/>
    <col min="10757" max="10760" width="8.5703125" style="56" customWidth="1"/>
    <col min="10761" max="10767" width="10.85546875" style="56" customWidth="1"/>
    <col min="10768" max="11010" width="9.140625" style="56"/>
    <col min="11011" max="11011" width="34.28515625" style="56" customWidth="1"/>
    <col min="11012" max="11012" width="25.7109375" style="56" customWidth="1"/>
    <col min="11013" max="11016" width="8.5703125" style="56" customWidth="1"/>
    <col min="11017" max="11023" width="10.85546875" style="56" customWidth="1"/>
    <col min="11024" max="11266" width="9.140625" style="56"/>
    <col min="11267" max="11267" width="34.28515625" style="56" customWidth="1"/>
    <col min="11268" max="11268" width="25.7109375" style="56" customWidth="1"/>
    <col min="11269" max="11272" width="8.5703125" style="56" customWidth="1"/>
    <col min="11273" max="11279" width="10.85546875" style="56" customWidth="1"/>
    <col min="11280" max="11522" width="9.140625" style="56"/>
    <col min="11523" max="11523" width="34.28515625" style="56" customWidth="1"/>
    <col min="11524" max="11524" width="25.7109375" style="56" customWidth="1"/>
    <col min="11525" max="11528" width="8.5703125" style="56" customWidth="1"/>
    <col min="11529" max="11535" width="10.85546875" style="56" customWidth="1"/>
    <col min="11536" max="11778" width="9.140625" style="56"/>
    <col min="11779" max="11779" width="34.28515625" style="56" customWidth="1"/>
    <col min="11780" max="11780" width="25.7109375" style="56" customWidth="1"/>
    <col min="11781" max="11784" width="8.5703125" style="56" customWidth="1"/>
    <col min="11785" max="11791" width="10.85546875" style="56" customWidth="1"/>
    <col min="11792" max="12034" width="9.140625" style="56"/>
    <col min="12035" max="12035" width="34.28515625" style="56" customWidth="1"/>
    <col min="12036" max="12036" width="25.7109375" style="56" customWidth="1"/>
    <col min="12037" max="12040" width="8.5703125" style="56" customWidth="1"/>
    <col min="12041" max="12047" width="10.85546875" style="56" customWidth="1"/>
    <col min="12048" max="12290" width="9.140625" style="56"/>
    <col min="12291" max="12291" width="34.28515625" style="56" customWidth="1"/>
    <col min="12292" max="12292" width="25.7109375" style="56" customWidth="1"/>
    <col min="12293" max="12296" width="8.5703125" style="56" customWidth="1"/>
    <col min="12297" max="12303" width="10.85546875" style="56" customWidth="1"/>
    <col min="12304" max="12546" width="9.140625" style="56"/>
    <col min="12547" max="12547" width="34.28515625" style="56" customWidth="1"/>
    <col min="12548" max="12548" width="25.7109375" style="56" customWidth="1"/>
    <col min="12549" max="12552" width="8.5703125" style="56" customWidth="1"/>
    <col min="12553" max="12559" width="10.85546875" style="56" customWidth="1"/>
    <col min="12560" max="12802" width="9.140625" style="56"/>
    <col min="12803" max="12803" width="34.28515625" style="56" customWidth="1"/>
    <col min="12804" max="12804" width="25.7109375" style="56" customWidth="1"/>
    <col min="12805" max="12808" width="8.5703125" style="56" customWidth="1"/>
    <col min="12809" max="12815" width="10.85546875" style="56" customWidth="1"/>
    <col min="12816" max="13058" width="9.140625" style="56"/>
    <col min="13059" max="13059" width="34.28515625" style="56" customWidth="1"/>
    <col min="13060" max="13060" width="25.7109375" style="56" customWidth="1"/>
    <col min="13061" max="13064" width="8.5703125" style="56" customWidth="1"/>
    <col min="13065" max="13071" width="10.85546875" style="56" customWidth="1"/>
    <col min="13072" max="13314" width="9.140625" style="56"/>
    <col min="13315" max="13315" width="34.28515625" style="56" customWidth="1"/>
    <col min="13316" max="13316" width="25.7109375" style="56" customWidth="1"/>
    <col min="13317" max="13320" width="8.5703125" style="56" customWidth="1"/>
    <col min="13321" max="13327" width="10.85546875" style="56" customWidth="1"/>
    <col min="13328" max="13570" width="9.140625" style="56"/>
    <col min="13571" max="13571" width="34.28515625" style="56" customWidth="1"/>
    <col min="13572" max="13572" width="25.7109375" style="56" customWidth="1"/>
    <col min="13573" max="13576" width="8.5703125" style="56" customWidth="1"/>
    <col min="13577" max="13583" width="10.85546875" style="56" customWidth="1"/>
    <col min="13584" max="13826" width="9.140625" style="56"/>
    <col min="13827" max="13827" width="34.28515625" style="56" customWidth="1"/>
    <col min="13828" max="13828" width="25.7109375" style="56" customWidth="1"/>
    <col min="13829" max="13832" width="8.5703125" style="56" customWidth="1"/>
    <col min="13833" max="13839" width="10.85546875" style="56" customWidth="1"/>
    <col min="13840" max="14082" width="9.140625" style="56"/>
    <col min="14083" max="14083" width="34.28515625" style="56" customWidth="1"/>
    <col min="14084" max="14084" width="25.7109375" style="56" customWidth="1"/>
    <col min="14085" max="14088" width="8.5703125" style="56" customWidth="1"/>
    <col min="14089" max="14095" width="10.85546875" style="56" customWidth="1"/>
    <col min="14096" max="14338" width="9.140625" style="56"/>
    <col min="14339" max="14339" width="34.28515625" style="56" customWidth="1"/>
    <col min="14340" max="14340" width="25.7109375" style="56" customWidth="1"/>
    <col min="14341" max="14344" width="8.5703125" style="56" customWidth="1"/>
    <col min="14345" max="14351" width="10.85546875" style="56" customWidth="1"/>
    <col min="14352" max="14594" width="9.140625" style="56"/>
    <col min="14595" max="14595" width="34.28515625" style="56" customWidth="1"/>
    <col min="14596" max="14596" width="25.7109375" style="56" customWidth="1"/>
    <col min="14597" max="14600" width="8.5703125" style="56" customWidth="1"/>
    <col min="14601" max="14607" width="10.85546875" style="56" customWidth="1"/>
    <col min="14608" max="14850" width="9.140625" style="56"/>
    <col min="14851" max="14851" width="34.28515625" style="56" customWidth="1"/>
    <col min="14852" max="14852" width="25.7109375" style="56" customWidth="1"/>
    <col min="14853" max="14856" width="8.5703125" style="56" customWidth="1"/>
    <col min="14857" max="14863" width="10.85546875" style="56" customWidth="1"/>
    <col min="14864" max="15106" width="9.140625" style="56"/>
    <col min="15107" max="15107" width="34.28515625" style="56" customWidth="1"/>
    <col min="15108" max="15108" width="25.7109375" style="56" customWidth="1"/>
    <col min="15109" max="15112" width="8.5703125" style="56" customWidth="1"/>
    <col min="15113" max="15119" width="10.85546875" style="56" customWidth="1"/>
    <col min="15120" max="15362" width="9.140625" style="56"/>
    <col min="15363" max="15363" width="34.28515625" style="56" customWidth="1"/>
    <col min="15364" max="15364" width="25.7109375" style="56" customWidth="1"/>
    <col min="15365" max="15368" width="8.5703125" style="56" customWidth="1"/>
    <col min="15369" max="15375" width="10.85546875" style="56" customWidth="1"/>
    <col min="15376" max="15618" width="9.140625" style="56"/>
    <col min="15619" max="15619" width="34.28515625" style="56" customWidth="1"/>
    <col min="15620" max="15620" width="25.7109375" style="56" customWidth="1"/>
    <col min="15621" max="15624" width="8.5703125" style="56" customWidth="1"/>
    <col min="15625" max="15631" width="10.85546875" style="56" customWidth="1"/>
    <col min="15632" max="15874" width="9.140625" style="56"/>
    <col min="15875" max="15875" width="34.28515625" style="56" customWidth="1"/>
    <col min="15876" max="15876" width="25.7109375" style="56" customWidth="1"/>
    <col min="15877" max="15880" width="8.5703125" style="56" customWidth="1"/>
    <col min="15881" max="15887" width="10.85546875" style="56" customWidth="1"/>
    <col min="15888" max="16130" width="9.140625" style="56"/>
    <col min="16131" max="16131" width="34.28515625" style="56" customWidth="1"/>
    <col min="16132" max="16132" width="25.7109375" style="56" customWidth="1"/>
    <col min="16133" max="16136" width="8.5703125" style="56" customWidth="1"/>
    <col min="16137" max="16143" width="10.85546875" style="56" customWidth="1"/>
    <col min="16144" max="16384" width="9.140625" style="56"/>
  </cols>
  <sheetData>
    <row r="1" spans="1:69" s="1" customFormat="1" x14ac:dyDescent="0.25">
      <c r="H1" s="175"/>
      <c r="J1" s="167"/>
    </row>
    <row r="2" spans="1:69" s="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69" s="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</row>
    <row r="4" spans="1:69" s="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7"/>
    </row>
    <row r="5" spans="1:69" s="8" customFormat="1" ht="18" customHeight="1" thickBot="1" x14ac:dyDescent="0.3">
      <c r="B5" s="9"/>
      <c r="K5" s="10"/>
      <c r="L5" s="10"/>
      <c r="M5" s="10"/>
      <c r="N5" s="11"/>
      <c r="O5" s="11"/>
    </row>
    <row r="6" spans="1:69" s="13" customFormat="1" ht="32.1" customHeight="1" thickBot="1" x14ac:dyDescent="0.3">
      <c r="A6" s="18"/>
      <c r="B6" s="65" t="s">
        <v>937</v>
      </c>
      <c r="C6" s="65"/>
      <c r="D6" s="65"/>
      <c r="E6" s="65"/>
      <c r="F6" s="65"/>
      <c r="G6" s="65"/>
      <c r="H6" s="176"/>
      <c r="I6" s="65"/>
      <c r="J6" s="168"/>
      <c r="K6" s="65"/>
      <c r="L6" s="65"/>
      <c r="M6" s="99"/>
      <c r="N6" s="66"/>
      <c r="O6" s="100" t="s">
        <v>0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</row>
    <row r="7" spans="1:69" s="13" customFormat="1" ht="6.75" customHeight="1" thickBot="1" x14ac:dyDescent="0.3">
      <c r="A7" s="58"/>
      <c r="B7" s="101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</row>
    <row r="8" spans="1:69" s="17" customFormat="1" ht="18" customHeight="1" x14ac:dyDescent="0.25">
      <c r="A8" s="59"/>
      <c r="B8" s="341" t="s">
        <v>1</v>
      </c>
      <c r="C8" s="337" t="s">
        <v>2</v>
      </c>
      <c r="D8" s="338"/>
      <c r="E8" s="337" t="s">
        <v>3</v>
      </c>
      <c r="F8" s="338"/>
      <c r="G8" s="15" t="s">
        <v>4</v>
      </c>
      <c r="H8" s="330" t="s">
        <v>5</v>
      </c>
      <c r="I8" s="331"/>
      <c r="J8" s="331"/>
      <c r="K8" s="332"/>
      <c r="L8" s="325" t="s">
        <v>6</v>
      </c>
      <c r="M8" s="328" t="s">
        <v>7</v>
      </c>
      <c r="N8" s="312" t="s">
        <v>8</v>
      </c>
      <c r="O8" s="16" t="s">
        <v>9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</row>
    <row r="9" spans="1:69" s="14" customFormat="1" ht="18" customHeight="1" x14ac:dyDescent="0.25">
      <c r="A9" s="18" t="s">
        <v>40</v>
      </c>
      <c r="B9" s="342"/>
      <c r="C9" s="339"/>
      <c r="D9" s="340"/>
      <c r="E9" s="339" t="s">
        <v>10</v>
      </c>
      <c r="F9" s="340" t="s">
        <v>11</v>
      </c>
      <c r="G9" s="21"/>
      <c r="H9" s="333" t="s">
        <v>42</v>
      </c>
      <c r="I9" s="334"/>
      <c r="J9" s="344" t="s">
        <v>43</v>
      </c>
      <c r="K9" s="345"/>
      <c r="L9" s="326"/>
      <c r="M9" s="329"/>
      <c r="N9" s="313"/>
      <c r="O9" s="22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</row>
    <row r="10" spans="1:69" s="17" customFormat="1" ht="18" customHeight="1" thickBot="1" x14ac:dyDescent="0.3">
      <c r="A10" s="47"/>
      <c r="B10" s="343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17</v>
      </c>
      <c r="J10" s="202" t="s">
        <v>717</v>
      </c>
      <c r="K10" s="98" t="s">
        <v>18</v>
      </c>
      <c r="L10" s="327"/>
      <c r="M10" s="26" t="s">
        <v>19</v>
      </c>
      <c r="N10" s="27" t="s">
        <v>20</v>
      </c>
      <c r="O10" s="28" t="s">
        <v>21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</row>
    <row r="11" spans="1:69" s="17" customFormat="1" ht="18" customHeight="1" thickBot="1" x14ac:dyDescent="0.3">
      <c r="A11" s="60"/>
      <c r="B11" s="29" t="s">
        <v>706</v>
      </c>
      <c r="C11" s="30">
        <v>0.75</v>
      </c>
      <c r="D11" s="31">
        <v>1</v>
      </c>
      <c r="E11" s="30">
        <v>9</v>
      </c>
      <c r="F11" s="31">
        <v>15</v>
      </c>
      <c r="G11" s="32" t="s">
        <v>22</v>
      </c>
      <c r="H11" s="228"/>
      <c r="I11" s="226">
        <v>351.94412938265287</v>
      </c>
      <c r="J11" s="195">
        <v>100602773</v>
      </c>
      <c r="K11" s="33">
        <v>333.86374009638723</v>
      </c>
      <c r="L11" s="30" t="s">
        <v>23</v>
      </c>
      <c r="M11" s="34">
        <v>2900</v>
      </c>
      <c r="N11" s="35">
        <v>27</v>
      </c>
      <c r="O11" s="36">
        <f>0.495*0.27*0.34</f>
        <v>4.5441000000000009E-2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</row>
    <row r="12" spans="1:69" s="17" customFormat="1" ht="18" customHeight="1" thickBot="1" x14ac:dyDescent="0.3">
      <c r="A12" s="61"/>
      <c r="B12" s="29" t="s">
        <v>707</v>
      </c>
      <c r="C12" s="30">
        <v>1.1000000000000001</v>
      </c>
      <c r="D12" s="31">
        <v>1.5</v>
      </c>
      <c r="E12" s="30">
        <v>15</v>
      </c>
      <c r="F12" s="31">
        <v>16.5</v>
      </c>
      <c r="G12" s="32" t="s">
        <v>22</v>
      </c>
      <c r="H12" s="228"/>
      <c r="I12" s="226">
        <v>369.40105696939202</v>
      </c>
      <c r="J12" s="195">
        <v>100602774</v>
      </c>
      <c r="K12" s="33">
        <v>351.94412938265287</v>
      </c>
      <c r="L12" s="30" t="s">
        <v>23</v>
      </c>
      <c r="M12" s="34">
        <v>2900</v>
      </c>
      <c r="N12" s="35">
        <v>28</v>
      </c>
      <c r="O12" s="36">
        <f>0.495*0.27*0.34</f>
        <v>4.5441000000000009E-2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</row>
    <row r="13" spans="1:69" s="17" customFormat="1" ht="18" customHeight="1" thickBot="1" x14ac:dyDescent="0.3">
      <c r="A13" s="47"/>
      <c r="B13" s="29" t="s">
        <v>708</v>
      </c>
      <c r="C13" s="30">
        <v>1.5</v>
      </c>
      <c r="D13" s="31">
        <v>2</v>
      </c>
      <c r="E13" s="30">
        <v>15</v>
      </c>
      <c r="F13" s="31">
        <v>18.5</v>
      </c>
      <c r="G13" s="32" t="s">
        <v>22</v>
      </c>
      <c r="H13" s="228"/>
      <c r="I13" s="226">
        <v>423.33049397842569</v>
      </c>
      <c r="J13" s="195">
        <v>100602775</v>
      </c>
      <c r="K13" s="33">
        <v>400.26241109594901</v>
      </c>
      <c r="L13" s="30" t="s">
        <v>23</v>
      </c>
      <c r="M13" s="34">
        <v>2900</v>
      </c>
      <c r="N13" s="35">
        <v>35</v>
      </c>
      <c r="O13" s="36">
        <f>0.49*0.27*0.37</f>
        <v>4.8951000000000001E-2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</row>
    <row r="14" spans="1:69" s="17" customFormat="1" ht="18" customHeight="1" thickBot="1" x14ac:dyDescent="0.3">
      <c r="A14" s="47"/>
      <c r="B14" s="29" t="s">
        <v>709</v>
      </c>
      <c r="C14" s="30">
        <v>2.2000000000000002</v>
      </c>
      <c r="D14" s="31">
        <v>3</v>
      </c>
      <c r="E14" s="30">
        <v>15</v>
      </c>
      <c r="F14" s="31">
        <v>24.5</v>
      </c>
      <c r="G14" s="32" t="s">
        <v>22</v>
      </c>
      <c r="H14" s="228"/>
      <c r="I14" s="226">
        <v>455.75050235379837</v>
      </c>
      <c r="J14" s="195">
        <v>100602776</v>
      </c>
      <c r="K14" s="33">
        <v>424.57741737747835</v>
      </c>
      <c r="L14" s="30" t="s">
        <v>23</v>
      </c>
      <c r="M14" s="34">
        <v>2900</v>
      </c>
      <c r="N14" s="35">
        <v>37</v>
      </c>
      <c r="O14" s="36">
        <f>0.49*0.27*0.37</f>
        <v>4.8951000000000001E-2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</row>
    <row r="15" spans="1:69" s="17" customFormat="1" ht="18" customHeight="1" thickBot="1" x14ac:dyDescent="0.3">
      <c r="A15" s="47"/>
      <c r="B15" s="29" t="s">
        <v>710</v>
      </c>
      <c r="C15" s="30">
        <v>3</v>
      </c>
      <c r="D15" s="31">
        <v>4</v>
      </c>
      <c r="E15" s="30">
        <v>15</v>
      </c>
      <c r="F15" s="31">
        <v>28</v>
      </c>
      <c r="G15" s="32" t="s">
        <v>22</v>
      </c>
      <c r="H15" s="228"/>
      <c r="I15" s="226">
        <v>543.03514028749441</v>
      </c>
      <c r="J15" s="195">
        <v>100602777</v>
      </c>
      <c r="K15" s="33">
        <v>478.50685438651198</v>
      </c>
      <c r="L15" s="30" t="s">
        <v>23</v>
      </c>
      <c r="M15" s="34">
        <v>2900</v>
      </c>
      <c r="N15" s="35">
        <v>41</v>
      </c>
      <c r="O15" s="36">
        <f>0.53*0.27*0.37</f>
        <v>5.2947000000000001E-2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</row>
    <row r="16" spans="1:69" s="17" customFormat="1" ht="18" customHeight="1" thickBot="1" x14ac:dyDescent="0.3">
      <c r="A16" s="47"/>
      <c r="B16" s="29" t="s">
        <v>711</v>
      </c>
      <c r="C16" s="30">
        <v>3</v>
      </c>
      <c r="D16" s="31">
        <v>4</v>
      </c>
      <c r="E16" s="30">
        <v>15</v>
      </c>
      <c r="F16" s="31">
        <v>35.200000000000003</v>
      </c>
      <c r="G16" s="32" t="s">
        <v>22</v>
      </c>
      <c r="H16" s="228"/>
      <c r="I16" s="226">
        <v>623.77343037616322</v>
      </c>
      <c r="J16" s="195">
        <v>100602778</v>
      </c>
      <c r="K16" s="33">
        <v>592</v>
      </c>
      <c r="L16" s="30" t="s">
        <v>23</v>
      </c>
      <c r="M16" s="34">
        <v>2900</v>
      </c>
      <c r="N16" s="34">
        <v>51</v>
      </c>
      <c r="O16" s="37">
        <f>0.53*0.29*0.45</f>
        <v>6.9165000000000004E-2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</row>
    <row r="17" spans="1:69" s="17" customFormat="1" ht="18" customHeight="1" thickBot="1" x14ac:dyDescent="0.3">
      <c r="A17" s="47"/>
      <c r="B17" s="29" t="s">
        <v>712</v>
      </c>
      <c r="C17" s="30">
        <v>4</v>
      </c>
      <c r="D17" s="31">
        <v>5.5</v>
      </c>
      <c r="E17" s="30">
        <v>15</v>
      </c>
      <c r="F17" s="31">
        <v>45.5</v>
      </c>
      <c r="G17" s="32" t="s">
        <v>22</v>
      </c>
      <c r="H17" s="193"/>
      <c r="I17" s="189"/>
      <c r="J17" s="195">
        <v>100602779</v>
      </c>
      <c r="K17" s="33">
        <v>633</v>
      </c>
      <c r="L17" s="30" t="s">
        <v>23</v>
      </c>
      <c r="M17" s="34">
        <v>2900</v>
      </c>
      <c r="N17" s="34">
        <v>53</v>
      </c>
      <c r="O17" s="37">
        <f>0.53*0.29*0.45</f>
        <v>6.9165000000000004E-2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</row>
    <row r="18" spans="1:69" s="17" customFormat="1" ht="18" customHeight="1" thickBot="1" x14ac:dyDescent="0.3">
      <c r="B18" s="29" t="s">
        <v>713</v>
      </c>
      <c r="C18" s="30">
        <v>5.5</v>
      </c>
      <c r="D18" s="31">
        <v>7.5</v>
      </c>
      <c r="E18" s="30">
        <v>15</v>
      </c>
      <c r="F18" s="31">
        <v>55</v>
      </c>
      <c r="G18" s="32" t="s">
        <v>22</v>
      </c>
      <c r="H18" s="193"/>
      <c r="I18" s="189"/>
      <c r="J18" s="195">
        <v>100602042</v>
      </c>
      <c r="K18" s="33">
        <v>916.20413740799995</v>
      </c>
      <c r="L18" s="30" t="s">
        <v>24</v>
      </c>
      <c r="M18" s="34">
        <v>2900</v>
      </c>
      <c r="N18" s="34">
        <v>76</v>
      </c>
      <c r="O18" s="37">
        <f>0.64*0.35*0.46</f>
        <v>0.10303999999999999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</row>
    <row r="19" spans="1:69" s="17" customFormat="1" ht="18" customHeight="1" thickBot="1" x14ac:dyDescent="0.3">
      <c r="A19" s="47"/>
      <c r="B19" s="29" t="s">
        <v>714</v>
      </c>
      <c r="C19" s="30">
        <v>7.5</v>
      </c>
      <c r="D19" s="31">
        <v>10</v>
      </c>
      <c r="E19" s="30">
        <v>15</v>
      </c>
      <c r="F19" s="31">
        <v>66</v>
      </c>
      <c r="G19" s="32" t="s">
        <v>22</v>
      </c>
      <c r="H19" s="193"/>
      <c r="I19" s="189"/>
      <c r="J19" s="195">
        <v>100602780</v>
      </c>
      <c r="K19" s="33">
        <v>1002.07044</v>
      </c>
      <c r="L19" s="30" t="s">
        <v>24</v>
      </c>
      <c r="M19" s="34">
        <v>2900</v>
      </c>
      <c r="N19" s="34">
        <v>78</v>
      </c>
      <c r="O19" s="37">
        <f>0.64*0.35*0.46</f>
        <v>0.10303999999999999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</row>
    <row r="20" spans="1:69" s="17" customFormat="1" ht="18" customHeight="1" thickBot="1" x14ac:dyDescent="0.3">
      <c r="A20" s="335"/>
      <c r="B20" s="29" t="s">
        <v>715</v>
      </c>
      <c r="C20" s="30">
        <v>9.1999999999999993</v>
      </c>
      <c r="D20" s="31">
        <v>12.5</v>
      </c>
      <c r="E20" s="30">
        <v>15</v>
      </c>
      <c r="F20" s="31">
        <v>72</v>
      </c>
      <c r="G20" s="32" t="s">
        <v>22</v>
      </c>
      <c r="H20" s="193"/>
      <c r="I20" s="189"/>
      <c r="J20" s="195">
        <v>100602781</v>
      </c>
      <c r="K20" s="33">
        <v>1135.6352955360001</v>
      </c>
      <c r="L20" s="30" t="s">
        <v>24</v>
      </c>
      <c r="M20" s="34">
        <v>2900</v>
      </c>
      <c r="N20" s="34">
        <v>85</v>
      </c>
      <c r="O20" s="37">
        <f>0.64*0.35*0.46</f>
        <v>0.10303999999999999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</row>
    <row r="21" spans="1:69" s="17" customFormat="1" ht="18" customHeight="1" thickBot="1" x14ac:dyDescent="0.3">
      <c r="A21" s="336"/>
      <c r="B21" s="38" t="s">
        <v>716</v>
      </c>
      <c r="C21" s="30">
        <v>11</v>
      </c>
      <c r="D21" s="31">
        <v>15</v>
      </c>
      <c r="E21" s="30">
        <v>15</v>
      </c>
      <c r="F21" s="31">
        <v>82</v>
      </c>
      <c r="G21" s="32" t="s">
        <v>22</v>
      </c>
      <c r="H21" s="193"/>
      <c r="I21" s="189"/>
      <c r="J21" s="196">
        <v>100602782</v>
      </c>
      <c r="K21" s="33">
        <v>1335.9157741439997</v>
      </c>
      <c r="L21" s="30" t="s">
        <v>24</v>
      </c>
      <c r="M21" s="34">
        <v>2900</v>
      </c>
      <c r="N21" s="34">
        <v>100</v>
      </c>
      <c r="O21" s="37">
        <f>0.64*0.35*0.46</f>
        <v>0.10303999999999999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</row>
    <row r="22" spans="1:69" s="17" customFormat="1" ht="18" customHeight="1" thickBot="1" x14ac:dyDescent="0.3">
      <c r="A22" s="47"/>
      <c r="B22" s="38" t="s">
        <v>718</v>
      </c>
      <c r="C22" s="30">
        <v>15</v>
      </c>
      <c r="D22" s="31">
        <v>20</v>
      </c>
      <c r="E22" s="30">
        <v>15</v>
      </c>
      <c r="F22" s="31">
        <v>90</v>
      </c>
      <c r="G22" s="32" t="s">
        <v>22</v>
      </c>
      <c r="H22" s="193"/>
      <c r="I22" s="189"/>
      <c r="J22" s="196">
        <v>100602783</v>
      </c>
      <c r="K22" s="33">
        <v>1712.6942595840001</v>
      </c>
      <c r="L22" s="30" t="s">
        <v>24</v>
      </c>
      <c r="M22" s="34">
        <v>2900</v>
      </c>
      <c r="N22" s="34">
        <v>125</v>
      </c>
      <c r="O22" s="37">
        <f>0.8*0.35*0.57</f>
        <v>0.15959999999999996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</row>
    <row r="23" spans="1:69" s="17" customFormat="1" ht="18" customHeight="1" thickBot="1" x14ac:dyDescent="0.3">
      <c r="A23" s="47"/>
      <c r="B23" s="38" t="s">
        <v>719</v>
      </c>
      <c r="C23" s="30">
        <v>5.5</v>
      </c>
      <c r="D23" s="31">
        <v>7.5</v>
      </c>
      <c r="E23" s="30">
        <v>15</v>
      </c>
      <c r="F23" s="31">
        <v>63</v>
      </c>
      <c r="G23" s="32" t="s">
        <v>22</v>
      </c>
      <c r="H23" s="193"/>
      <c r="I23" s="189"/>
      <c r="J23" s="196">
        <v>100602043</v>
      </c>
      <c r="K23" s="33">
        <v>959</v>
      </c>
      <c r="L23" s="30" t="s">
        <v>23</v>
      </c>
      <c r="M23" s="34">
        <v>2900</v>
      </c>
      <c r="N23" s="34">
        <v>83</v>
      </c>
      <c r="O23" s="37">
        <f>0.67*0.35*0.44</f>
        <v>0.10317999999999999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</row>
    <row r="24" spans="1:69" s="17" customFormat="1" ht="18" customHeight="1" thickBot="1" x14ac:dyDescent="0.3">
      <c r="A24" s="47"/>
      <c r="B24" s="38" t="s">
        <v>720</v>
      </c>
      <c r="C24" s="30">
        <v>7.5</v>
      </c>
      <c r="D24" s="31">
        <v>10</v>
      </c>
      <c r="E24" s="30">
        <v>15</v>
      </c>
      <c r="F24" s="31">
        <v>83</v>
      </c>
      <c r="G24" s="32" t="s">
        <v>22</v>
      </c>
      <c r="H24" s="193"/>
      <c r="I24" s="189"/>
      <c r="J24" s="196">
        <v>100602784</v>
      </c>
      <c r="K24" s="33">
        <v>1005.544284192</v>
      </c>
      <c r="L24" s="30" t="s">
        <v>23</v>
      </c>
      <c r="M24" s="34">
        <v>2900</v>
      </c>
      <c r="N24" s="34">
        <v>85</v>
      </c>
      <c r="O24" s="37">
        <f>0.67*0.35*0.44</f>
        <v>0.10317999999999999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</row>
    <row r="25" spans="1:69" s="17" customFormat="1" ht="18" customHeight="1" thickBot="1" x14ac:dyDescent="0.3">
      <c r="A25" s="47"/>
      <c r="B25" s="29" t="s">
        <v>721</v>
      </c>
      <c r="C25" s="30">
        <v>1.1000000000000001</v>
      </c>
      <c r="D25" s="31">
        <v>1.5</v>
      </c>
      <c r="E25" s="30">
        <v>24</v>
      </c>
      <c r="F25" s="31">
        <v>11.5</v>
      </c>
      <c r="G25" s="32" t="s">
        <v>25</v>
      </c>
      <c r="H25" s="228"/>
      <c r="I25" s="226">
        <v>388.72836965471043</v>
      </c>
      <c r="J25" s="195">
        <v>100602785</v>
      </c>
      <c r="K25" s="33">
        <v>364.72509422294411</v>
      </c>
      <c r="L25" s="30" t="s">
        <v>24</v>
      </c>
      <c r="M25" s="34">
        <v>2900</v>
      </c>
      <c r="N25" s="34">
        <v>36</v>
      </c>
      <c r="O25" s="37">
        <f>0.495*0.27*0.34</f>
        <v>4.5441000000000009E-2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</row>
    <row r="26" spans="1:69" s="17" customFormat="1" ht="18" customHeight="1" thickBot="1" x14ac:dyDescent="0.3">
      <c r="A26" s="47"/>
      <c r="B26" s="29" t="s">
        <v>722</v>
      </c>
      <c r="C26" s="30">
        <v>1.5</v>
      </c>
      <c r="D26" s="31">
        <v>2</v>
      </c>
      <c r="E26" s="30">
        <v>27</v>
      </c>
      <c r="F26" s="31">
        <v>13.9</v>
      </c>
      <c r="G26" s="32" t="s">
        <v>25</v>
      </c>
      <c r="H26" s="228"/>
      <c r="I26" s="226">
        <v>405.25010469215999</v>
      </c>
      <c r="J26" s="195">
        <v>100602786</v>
      </c>
      <c r="K26" s="33">
        <v>380</v>
      </c>
      <c r="L26" s="30" t="s">
        <v>24</v>
      </c>
      <c r="M26" s="34">
        <v>2900</v>
      </c>
      <c r="N26" s="34">
        <v>38</v>
      </c>
      <c r="O26" s="37">
        <f>0.495*0.27*0.34</f>
        <v>4.5441000000000009E-2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</row>
    <row r="27" spans="1:69" s="17" customFormat="1" ht="18" customHeight="1" thickBot="1" x14ac:dyDescent="0.3">
      <c r="A27" s="47"/>
      <c r="B27" s="29" t="s">
        <v>723</v>
      </c>
      <c r="C27" s="30">
        <v>2.2000000000000002</v>
      </c>
      <c r="D27" s="31">
        <v>3</v>
      </c>
      <c r="E27" s="30">
        <v>27</v>
      </c>
      <c r="F27" s="31">
        <v>20.2</v>
      </c>
      <c r="G27" s="32" t="s">
        <v>25</v>
      </c>
      <c r="H27" s="228"/>
      <c r="I27" s="226">
        <v>424.57741737747835</v>
      </c>
      <c r="J27" s="195">
        <v>100602787</v>
      </c>
      <c r="K27" s="33">
        <v>398.70375684713287</v>
      </c>
      <c r="L27" s="30" t="s">
        <v>24</v>
      </c>
      <c r="M27" s="34">
        <v>2900</v>
      </c>
      <c r="N27" s="34">
        <v>40</v>
      </c>
      <c r="O27" s="37">
        <f>0.495*0.27*0.34</f>
        <v>4.5441000000000009E-2</v>
      </c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</row>
    <row r="28" spans="1:69" s="17" customFormat="1" ht="18" customHeight="1" thickBot="1" x14ac:dyDescent="0.3">
      <c r="A28" s="47"/>
      <c r="B28" s="29" t="s">
        <v>724</v>
      </c>
      <c r="C28" s="30">
        <v>3</v>
      </c>
      <c r="D28" s="31">
        <v>4</v>
      </c>
      <c r="E28" s="30">
        <v>27</v>
      </c>
      <c r="F28" s="31">
        <v>26.3</v>
      </c>
      <c r="G28" s="32" t="s">
        <v>25</v>
      </c>
      <c r="H28" s="228"/>
      <c r="I28" s="226">
        <v>588.23611350315832</v>
      </c>
      <c r="J28" s="195">
        <v>100602788</v>
      </c>
      <c r="K28" s="33">
        <v>552.69879663015365</v>
      </c>
      <c r="L28" s="30" t="s">
        <v>24</v>
      </c>
      <c r="M28" s="34">
        <v>2900</v>
      </c>
      <c r="N28" s="34">
        <v>47</v>
      </c>
      <c r="O28" s="37">
        <f>0.58*0.29*0.4</f>
        <v>6.7279999999999993E-2</v>
      </c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</row>
    <row r="29" spans="1:69" s="17" customFormat="1" ht="18" customHeight="1" thickBot="1" x14ac:dyDescent="0.3">
      <c r="A29" s="47"/>
      <c r="B29" s="29" t="s">
        <v>725</v>
      </c>
      <c r="C29" s="30">
        <v>4</v>
      </c>
      <c r="D29" s="31">
        <v>5.5</v>
      </c>
      <c r="E29" s="30">
        <v>27</v>
      </c>
      <c r="F29" s="31">
        <v>33</v>
      </c>
      <c r="G29" s="32" t="s">
        <v>25</v>
      </c>
      <c r="H29" s="228"/>
      <c r="I29" s="226">
        <v>773.59837967999999</v>
      </c>
      <c r="J29" s="195">
        <v>100602789</v>
      </c>
      <c r="K29" s="33">
        <v>593.04755462399987</v>
      </c>
      <c r="L29" s="30" t="s">
        <v>24</v>
      </c>
      <c r="M29" s="34">
        <v>2900</v>
      </c>
      <c r="N29" s="34">
        <v>49</v>
      </c>
      <c r="O29" s="37">
        <f>0.58*0.29*0.4</f>
        <v>6.7279999999999993E-2</v>
      </c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</row>
    <row r="30" spans="1:69" s="17" customFormat="1" ht="18" customHeight="1" thickBot="1" x14ac:dyDescent="0.3">
      <c r="A30" s="47"/>
      <c r="B30" s="29" t="s">
        <v>726</v>
      </c>
      <c r="C30" s="30">
        <v>5.5</v>
      </c>
      <c r="D30" s="31">
        <v>7.5</v>
      </c>
      <c r="E30" s="30">
        <v>27</v>
      </c>
      <c r="F30" s="31">
        <v>40.1</v>
      </c>
      <c r="G30" s="32" t="s">
        <v>25</v>
      </c>
      <c r="H30" s="193"/>
      <c r="I30" s="189"/>
      <c r="J30" s="195">
        <v>100602790</v>
      </c>
      <c r="K30" s="33">
        <v>755</v>
      </c>
      <c r="L30" s="30" t="s">
        <v>23</v>
      </c>
      <c r="M30" s="34">
        <v>2900</v>
      </c>
      <c r="N30" s="34">
        <v>64</v>
      </c>
      <c r="O30" s="37">
        <f>0.64*0.32*0.43</f>
        <v>8.8064000000000003E-2</v>
      </c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</row>
    <row r="31" spans="1:69" s="17" customFormat="1" ht="18" customHeight="1" thickBot="1" x14ac:dyDescent="0.3">
      <c r="A31" s="47"/>
      <c r="B31" s="29" t="s">
        <v>727</v>
      </c>
      <c r="C31" s="30">
        <v>7.5</v>
      </c>
      <c r="D31" s="31">
        <v>10</v>
      </c>
      <c r="E31" s="30">
        <v>27</v>
      </c>
      <c r="F31" s="31">
        <v>50</v>
      </c>
      <c r="G31" s="32" t="s">
        <v>25</v>
      </c>
      <c r="H31" s="193"/>
      <c r="I31" s="189"/>
      <c r="J31" s="195">
        <v>100602791</v>
      </c>
      <c r="K31" s="33">
        <v>791</v>
      </c>
      <c r="L31" s="30" t="s">
        <v>23</v>
      </c>
      <c r="M31" s="34">
        <v>2900</v>
      </c>
      <c r="N31" s="34">
        <v>69</v>
      </c>
      <c r="O31" s="37">
        <f>0.64*0.32*0.43</f>
        <v>8.8064000000000003E-2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</row>
    <row r="32" spans="1:69" s="17" customFormat="1" ht="18" customHeight="1" thickBot="1" x14ac:dyDescent="0.3">
      <c r="A32" s="47"/>
      <c r="B32" s="29" t="s">
        <v>728</v>
      </c>
      <c r="C32" s="30">
        <v>9.1999999999999993</v>
      </c>
      <c r="D32" s="31">
        <v>12.5</v>
      </c>
      <c r="E32" s="30">
        <v>27</v>
      </c>
      <c r="F32" s="31">
        <v>55</v>
      </c>
      <c r="G32" s="32" t="s">
        <v>25</v>
      </c>
      <c r="H32" s="193"/>
      <c r="I32" s="189"/>
      <c r="J32" s="195">
        <v>100602792</v>
      </c>
      <c r="K32" s="33">
        <v>1114.3023292800001</v>
      </c>
      <c r="L32" s="30" t="s">
        <v>24</v>
      </c>
      <c r="M32" s="34">
        <v>2900</v>
      </c>
      <c r="N32" s="34">
        <v>117</v>
      </c>
      <c r="O32" s="37">
        <f>0.64*0.35*0.46</f>
        <v>0.10303999999999999</v>
      </c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spans="1:69" s="17" customFormat="1" ht="18" customHeight="1" thickBot="1" x14ac:dyDescent="0.3">
      <c r="A33" s="47"/>
      <c r="B33" s="29" t="s">
        <v>729</v>
      </c>
      <c r="C33" s="30">
        <v>11</v>
      </c>
      <c r="D33" s="31">
        <v>15</v>
      </c>
      <c r="E33" s="30">
        <v>27</v>
      </c>
      <c r="F33" s="31">
        <v>63.5</v>
      </c>
      <c r="G33" s="32" t="s">
        <v>25</v>
      </c>
      <c r="H33" s="193"/>
      <c r="I33" s="189"/>
      <c r="J33" s="195">
        <v>100602793</v>
      </c>
      <c r="K33" s="33">
        <v>1270.7143908479998</v>
      </c>
      <c r="L33" s="30" t="s">
        <v>24</v>
      </c>
      <c r="M33" s="34">
        <v>2900</v>
      </c>
      <c r="N33" s="34">
        <v>132</v>
      </c>
      <c r="O33" s="37">
        <f>0.64*0.35*0.46</f>
        <v>0.10303999999999999</v>
      </c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spans="1:69" s="17" customFormat="1" ht="18" customHeight="1" thickBot="1" x14ac:dyDescent="0.3">
      <c r="A34" s="47"/>
      <c r="B34" s="29" t="s">
        <v>730</v>
      </c>
      <c r="C34" s="30">
        <v>15</v>
      </c>
      <c r="D34" s="31">
        <v>20</v>
      </c>
      <c r="E34" s="30">
        <v>27</v>
      </c>
      <c r="F34" s="31">
        <v>75.2</v>
      </c>
      <c r="G34" s="32" t="s">
        <v>25</v>
      </c>
      <c r="H34" s="193"/>
      <c r="I34" s="189"/>
      <c r="J34" s="195">
        <v>100602794</v>
      </c>
      <c r="K34" s="33">
        <v>1712</v>
      </c>
      <c r="L34" s="30" t="s">
        <v>24</v>
      </c>
      <c r="M34" s="34">
        <v>2900</v>
      </c>
      <c r="N34" s="34">
        <v>138</v>
      </c>
      <c r="O34" s="37">
        <f>0.8*0.35*0.57</f>
        <v>0.15959999999999996</v>
      </c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spans="1:69" s="17" customFormat="1" ht="18" customHeight="1" thickBot="1" x14ac:dyDescent="0.3">
      <c r="A35" s="47"/>
      <c r="B35" s="29" t="s">
        <v>731</v>
      </c>
      <c r="C35" s="30">
        <v>18.5</v>
      </c>
      <c r="D35" s="31">
        <v>25</v>
      </c>
      <c r="E35" s="30">
        <v>27</v>
      </c>
      <c r="F35" s="31">
        <v>80.7</v>
      </c>
      <c r="G35" s="32" t="s">
        <v>25</v>
      </c>
      <c r="H35" s="193"/>
      <c r="I35" s="189"/>
      <c r="J35" s="195">
        <v>100602795</v>
      </c>
      <c r="K35" s="33">
        <v>1912</v>
      </c>
      <c r="L35" s="30" t="s">
        <v>24</v>
      </c>
      <c r="M35" s="34">
        <v>2900</v>
      </c>
      <c r="N35" s="34">
        <v>155</v>
      </c>
      <c r="O35" s="37">
        <f>0.8*0.35*0.57</f>
        <v>0.15959999999999996</v>
      </c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</row>
    <row r="36" spans="1:69" s="17" customFormat="1" ht="18" customHeight="1" thickBot="1" x14ac:dyDescent="0.3">
      <c r="A36" s="47"/>
      <c r="B36" s="29" t="s">
        <v>732</v>
      </c>
      <c r="C36" s="30">
        <v>2.2000000000000002</v>
      </c>
      <c r="D36" s="31">
        <v>3</v>
      </c>
      <c r="E36" s="30">
        <v>48</v>
      </c>
      <c r="F36" s="31">
        <v>12.8</v>
      </c>
      <c r="G36" s="32" t="s">
        <v>26</v>
      </c>
      <c r="H36" s="228"/>
      <c r="I36" s="226">
        <v>558.93341362541764</v>
      </c>
      <c r="J36" s="195">
        <v>100602796</v>
      </c>
      <c r="K36" s="33">
        <v>518</v>
      </c>
      <c r="L36" s="30" t="s">
        <v>24</v>
      </c>
      <c r="M36" s="34">
        <v>2900</v>
      </c>
      <c r="N36" s="34">
        <v>49</v>
      </c>
      <c r="O36" s="37">
        <f>0.59*0.29*0.4</f>
        <v>6.8439999999999987E-2</v>
      </c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1:69" s="17" customFormat="1" ht="18" customHeight="1" thickBot="1" x14ac:dyDescent="0.3">
      <c r="A37" s="47"/>
      <c r="B37" s="29" t="s">
        <v>733</v>
      </c>
      <c r="C37" s="30">
        <v>3</v>
      </c>
      <c r="D37" s="31">
        <v>4</v>
      </c>
      <c r="E37" s="30">
        <v>48</v>
      </c>
      <c r="F37" s="31">
        <v>17</v>
      </c>
      <c r="G37" s="32" t="s">
        <v>26</v>
      </c>
      <c r="H37" s="228"/>
      <c r="I37" s="226">
        <v>593.22380709936976</v>
      </c>
      <c r="J37" s="195">
        <v>100602044</v>
      </c>
      <c r="K37" s="33">
        <v>555.8161051277857</v>
      </c>
      <c r="L37" s="30" t="s">
        <v>24</v>
      </c>
      <c r="M37" s="34">
        <v>2900</v>
      </c>
      <c r="N37" s="34">
        <v>51</v>
      </c>
      <c r="O37" s="37">
        <f>0.59*0.29*0.4</f>
        <v>6.8439999999999987E-2</v>
      </c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</row>
    <row r="38" spans="1:69" s="17" customFormat="1" ht="18" customHeight="1" thickBot="1" x14ac:dyDescent="0.3">
      <c r="A38" s="47"/>
      <c r="B38" s="29" t="s">
        <v>734</v>
      </c>
      <c r="C38" s="30">
        <v>4</v>
      </c>
      <c r="D38" s="31">
        <v>5.5</v>
      </c>
      <c r="E38" s="30">
        <v>54</v>
      </c>
      <c r="F38" s="31">
        <v>20.3</v>
      </c>
      <c r="G38" s="32" t="s">
        <v>26</v>
      </c>
      <c r="H38" s="228"/>
      <c r="I38" s="226">
        <v>776.71593216000008</v>
      </c>
      <c r="J38" s="195">
        <v>100602797</v>
      </c>
      <c r="K38" s="33">
        <v>597</v>
      </c>
      <c r="L38" s="30" t="s">
        <v>24</v>
      </c>
      <c r="M38" s="34">
        <v>2900</v>
      </c>
      <c r="N38" s="34">
        <v>54</v>
      </c>
      <c r="O38" s="37">
        <f>0.59*0.29*0.4</f>
        <v>6.8439999999999987E-2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</row>
    <row r="39" spans="1:69" s="17" customFormat="1" ht="18" customHeight="1" thickBot="1" x14ac:dyDescent="0.3">
      <c r="A39" s="47"/>
      <c r="B39" s="29" t="s">
        <v>735</v>
      </c>
      <c r="C39" s="30">
        <v>5.5</v>
      </c>
      <c r="D39" s="31">
        <v>7.5</v>
      </c>
      <c r="E39" s="30">
        <v>54</v>
      </c>
      <c r="F39" s="31">
        <v>26.6</v>
      </c>
      <c r="G39" s="32" t="s">
        <v>26</v>
      </c>
      <c r="H39" s="193"/>
      <c r="I39" s="189"/>
      <c r="J39" s="195">
        <v>100602798</v>
      </c>
      <c r="K39" s="33">
        <v>718</v>
      </c>
      <c r="L39" s="30" t="s">
        <v>24</v>
      </c>
      <c r="M39" s="34">
        <v>2900</v>
      </c>
      <c r="N39" s="34">
        <v>64</v>
      </c>
      <c r="O39" s="37">
        <f>0.64*0.32*0.43</f>
        <v>8.8064000000000003E-2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</row>
    <row r="40" spans="1:69" s="17" customFormat="1" ht="18" customHeight="1" thickBot="1" x14ac:dyDescent="0.3">
      <c r="A40" s="47"/>
      <c r="B40" s="29" t="s">
        <v>736</v>
      </c>
      <c r="C40" s="30">
        <v>7.5</v>
      </c>
      <c r="D40" s="31">
        <v>10</v>
      </c>
      <c r="E40" s="30">
        <v>54</v>
      </c>
      <c r="F40" s="31">
        <v>34.4</v>
      </c>
      <c r="G40" s="32" t="s">
        <v>26</v>
      </c>
      <c r="H40" s="193"/>
      <c r="I40" s="189"/>
      <c r="J40" s="195">
        <v>100602799</v>
      </c>
      <c r="K40" s="33">
        <v>752.57716867199997</v>
      </c>
      <c r="L40" s="30" t="s">
        <v>24</v>
      </c>
      <c r="M40" s="34">
        <v>2900</v>
      </c>
      <c r="N40" s="34">
        <v>71</v>
      </c>
      <c r="O40" s="37">
        <f>0.64*0.32*0.43</f>
        <v>8.8064000000000003E-2</v>
      </c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</row>
    <row r="41" spans="1:69" s="17" customFormat="1" ht="18" customHeight="1" thickBot="1" x14ac:dyDescent="0.3">
      <c r="A41" s="47"/>
      <c r="B41" s="29" t="s">
        <v>737</v>
      </c>
      <c r="C41" s="30">
        <v>9.1999999999999993</v>
      </c>
      <c r="D41" s="31">
        <v>12.5</v>
      </c>
      <c r="E41" s="30">
        <v>54</v>
      </c>
      <c r="F41" s="31">
        <v>40.9</v>
      </c>
      <c r="G41" s="32" t="s">
        <v>26</v>
      </c>
      <c r="H41" s="193"/>
      <c r="I41" s="189"/>
      <c r="J41" s="195">
        <v>100602800</v>
      </c>
      <c r="K41" s="33">
        <v>1179.503712576</v>
      </c>
      <c r="L41" s="30" t="s">
        <v>24</v>
      </c>
      <c r="M41" s="34">
        <v>2900</v>
      </c>
      <c r="N41" s="34">
        <v>110</v>
      </c>
      <c r="O41" s="37">
        <f>0.64*0.35*0.46</f>
        <v>0.10303999999999999</v>
      </c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</row>
    <row r="42" spans="1:69" s="17" customFormat="1" ht="18" customHeight="1" thickBot="1" x14ac:dyDescent="0.3">
      <c r="A42" s="47"/>
      <c r="B42" s="29" t="s">
        <v>738</v>
      </c>
      <c r="C42" s="30">
        <v>11</v>
      </c>
      <c r="D42" s="31">
        <v>15</v>
      </c>
      <c r="E42" s="30">
        <v>54</v>
      </c>
      <c r="F42" s="31">
        <v>47.5</v>
      </c>
      <c r="G42" s="32" t="s">
        <v>26</v>
      </c>
      <c r="H42" s="193"/>
      <c r="I42" s="189"/>
      <c r="J42" s="195">
        <v>100602801</v>
      </c>
      <c r="K42" s="33">
        <v>1288</v>
      </c>
      <c r="L42" s="30" t="s">
        <v>24</v>
      </c>
      <c r="M42" s="34">
        <v>2900</v>
      </c>
      <c r="N42" s="34">
        <v>125</v>
      </c>
      <c r="O42" s="37">
        <f>0.64*0.35*0.46</f>
        <v>0.10303999999999999</v>
      </c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</row>
    <row r="43" spans="1:69" s="17" customFormat="1" ht="18" customHeight="1" thickBot="1" x14ac:dyDescent="0.3">
      <c r="A43" s="47"/>
      <c r="B43" s="29" t="s">
        <v>739</v>
      </c>
      <c r="C43" s="30">
        <v>15</v>
      </c>
      <c r="D43" s="31">
        <v>20</v>
      </c>
      <c r="E43" s="30">
        <v>54</v>
      </c>
      <c r="F43" s="31">
        <v>52</v>
      </c>
      <c r="G43" s="32" t="s">
        <v>26</v>
      </c>
      <c r="H43" s="193"/>
      <c r="I43" s="189"/>
      <c r="J43" s="195">
        <v>100602802</v>
      </c>
      <c r="K43" s="33">
        <v>1613.021653152</v>
      </c>
      <c r="L43" s="30" t="s">
        <v>24</v>
      </c>
      <c r="M43" s="34">
        <v>2900</v>
      </c>
      <c r="N43" s="34">
        <v>142</v>
      </c>
      <c r="O43" s="37">
        <f>0.8*0.35*0.57</f>
        <v>0.15959999999999996</v>
      </c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</row>
    <row r="44" spans="1:69" s="17" customFormat="1" ht="18" customHeight="1" thickBot="1" x14ac:dyDescent="0.3">
      <c r="A44" s="47"/>
      <c r="B44" s="29" t="s">
        <v>740</v>
      </c>
      <c r="C44" s="30">
        <v>15</v>
      </c>
      <c r="D44" s="31">
        <v>20</v>
      </c>
      <c r="E44" s="30">
        <v>54</v>
      </c>
      <c r="F44" s="31">
        <v>59</v>
      </c>
      <c r="G44" s="32" t="s">
        <v>26</v>
      </c>
      <c r="H44" s="193"/>
      <c r="I44" s="189"/>
      <c r="J44" s="195">
        <v>100602803</v>
      </c>
      <c r="K44" s="33">
        <v>1641</v>
      </c>
      <c r="L44" s="30" t="s">
        <v>24</v>
      </c>
      <c r="M44" s="34">
        <v>2900</v>
      </c>
      <c r="N44" s="34">
        <v>143</v>
      </c>
      <c r="O44" s="37">
        <f>0.8*0.35*0.57</f>
        <v>0.15959999999999996</v>
      </c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</row>
    <row r="45" spans="1:69" s="17" customFormat="1" ht="18" customHeight="1" thickBot="1" x14ac:dyDescent="0.3">
      <c r="A45" s="47"/>
      <c r="B45" s="29" t="s">
        <v>741</v>
      </c>
      <c r="C45" s="30">
        <v>18.5</v>
      </c>
      <c r="D45" s="31">
        <v>25</v>
      </c>
      <c r="E45" s="30">
        <v>54</v>
      </c>
      <c r="F45" s="31">
        <v>71.5</v>
      </c>
      <c r="G45" s="32" t="s">
        <v>26</v>
      </c>
      <c r="H45" s="193"/>
      <c r="I45" s="189"/>
      <c r="J45" s="195">
        <v>100602804</v>
      </c>
      <c r="K45" s="33">
        <v>1854</v>
      </c>
      <c r="L45" s="30" t="s">
        <v>24</v>
      </c>
      <c r="M45" s="34">
        <v>2900</v>
      </c>
      <c r="N45" s="34">
        <v>156</v>
      </c>
      <c r="O45" s="37">
        <f>0.8*0.35*0.57</f>
        <v>0.15959999999999996</v>
      </c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</row>
    <row r="46" spans="1:69" s="17" customFormat="1" ht="18" customHeight="1" thickBot="1" x14ac:dyDescent="0.3">
      <c r="A46" s="47"/>
      <c r="B46" s="29" t="s">
        <v>742</v>
      </c>
      <c r="C46" s="30">
        <v>22</v>
      </c>
      <c r="D46" s="31">
        <v>30</v>
      </c>
      <c r="E46" s="30">
        <v>54</v>
      </c>
      <c r="F46" s="31">
        <v>81.5</v>
      </c>
      <c r="G46" s="32" t="s">
        <v>26</v>
      </c>
      <c r="H46" s="193"/>
      <c r="I46" s="189"/>
      <c r="J46" s="195">
        <v>100601431</v>
      </c>
      <c r="K46" s="33">
        <v>2130</v>
      </c>
      <c r="L46" s="30" t="s">
        <v>24</v>
      </c>
      <c r="M46" s="34">
        <v>2900</v>
      </c>
      <c r="N46" s="34">
        <v>164</v>
      </c>
      <c r="O46" s="37">
        <f>0.8*0.35*0.57</f>
        <v>0.15959999999999996</v>
      </c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</row>
    <row r="47" spans="1:69" s="17" customFormat="1" ht="18" customHeight="1" thickBot="1" x14ac:dyDescent="0.3">
      <c r="A47" s="47"/>
      <c r="B47" s="29" t="s">
        <v>743</v>
      </c>
      <c r="C47" s="30">
        <v>4</v>
      </c>
      <c r="D47" s="31">
        <v>5.5</v>
      </c>
      <c r="E47" s="30">
        <v>54</v>
      </c>
      <c r="F47" s="31">
        <v>16.8</v>
      </c>
      <c r="G47" s="32" t="s">
        <v>27</v>
      </c>
      <c r="H47" s="193"/>
      <c r="I47" s="189"/>
      <c r="J47" s="195">
        <v>100602805</v>
      </c>
      <c r="K47" s="33">
        <v>659.80771415999993</v>
      </c>
      <c r="L47" s="30" t="s">
        <v>24</v>
      </c>
      <c r="M47" s="34">
        <v>2900</v>
      </c>
      <c r="N47" s="34">
        <v>65</v>
      </c>
      <c r="O47" s="37">
        <f>0.64*0.32*0.43</f>
        <v>8.8064000000000003E-2</v>
      </c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</row>
    <row r="48" spans="1:69" s="17" customFormat="1" ht="18" customHeight="1" thickBot="1" x14ac:dyDescent="0.3">
      <c r="A48" s="47"/>
      <c r="B48" s="29" t="s">
        <v>744</v>
      </c>
      <c r="C48" s="30">
        <v>5.5</v>
      </c>
      <c r="D48" s="31">
        <v>7.5</v>
      </c>
      <c r="E48" s="30">
        <v>72</v>
      </c>
      <c r="F48" s="31">
        <v>19</v>
      </c>
      <c r="G48" s="32" t="s">
        <v>27</v>
      </c>
      <c r="H48" s="193"/>
      <c r="I48" s="189"/>
      <c r="J48" s="195">
        <v>100602806</v>
      </c>
      <c r="K48" s="33">
        <v>733</v>
      </c>
      <c r="L48" s="30" t="s">
        <v>24</v>
      </c>
      <c r="M48" s="34">
        <v>2900</v>
      </c>
      <c r="N48" s="34">
        <v>71</v>
      </c>
      <c r="O48" s="37">
        <f>0.64*0.32*0.43</f>
        <v>8.8064000000000003E-2</v>
      </c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</row>
    <row r="49" spans="1:69" s="17" customFormat="1" ht="18" customHeight="1" thickBot="1" x14ac:dyDescent="0.3">
      <c r="A49" s="47"/>
      <c r="B49" s="29" t="s">
        <v>745</v>
      </c>
      <c r="C49" s="30">
        <v>7.5</v>
      </c>
      <c r="D49" s="31">
        <v>10</v>
      </c>
      <c r="E49" s="30">
        <v>72</v>
      </c>
      <c r="F49" s="31">
        <v>24.5</v>
      </c>
      <c r="G49" s="32" t="s">
        <v>27</v>
      </c>
      <c r="H49" s="193"/>
      <c r="I49" s="189"/>
      <c r="J49" s="195">
        <v>100602807</v>
      </c>
      <c r="K49" s="33">
        <v>769</v>
      </c>
      <c r="L49" s="30" t="s">
        <v>24</v>
      </c>
      <c r="M49" s="34">
        <v>2900</v>
      </c>
      <c r="N49" s="34">
        <v>73</v>
      </c>
      <c r="O49" s="37">
        <f>0.64*0.32*0.43</f>
        <v>8.8064000000000003E-2</v>
      </c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</row>
    <row r="50" spans="1:69" s="17" customFormat="1" ht="18" customHeight="1" thickBot="1" x14ac:dyDescent="0.3">
      <c r="A50" s="47"/>
      <c r="B50" s="29" t="s">
        <v>746</v>
      </c>
      <c r="C50" s="30">
        <v>9.1999999999999993</v>
      </c>
      <c r="D50" s="31">
        <v>12.5</v>
      </c>
      <c r="E50" s="30">
        <v>84</v>
      </c>
      <c r="F50" s="31">
        <v>28</v>
      </c>
      <c r="G50" s="32" t="s">
        <v>27</v>
      </c>
      <c r="H50" s="193"/>
      <c r="I50" s="189"/>
      <c r="J50" s="195">
        <v>100602808</v>
      </c>
      <c r="K50" s="33">
        <v>1172.9123159039998</v>
      </c>
      <c r="L50" s="30" t="s">
        <v>24</v>
      </c>
      <c r="M50" s="34">
        <v>2900</v>
      </c>
      <c r="N50" s="34">
        <v>100</v>
      </c>
      <c r="O50" s="37">
        <f>0.64*0.35*0.46</f>
        <v>0.10303999999999999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</row>
    <row r="51" spans="1:69" s="17" customFormat="1" ht="18" customHeight="1" thickBot="1" x14ac:dyDescent="0.3">
      <c r="A51" s="47"/>
      <c r="B51" s="29" t="s">
        <v>747</v>
      </c>
      <c r="C51" s="30">
        <v>11</v>
      </c>
      <c r="D51" s="31">
        <v>15</v>
      </c>
      <c r="E51" s="30">
        <v>84</v>
      </c>
      <c r="F51" s="31">
        <v>31.5</v>
      </c>
      <c r="G51" s="32" t="s">
        <v>27</v>
      </c>
      <c r="H51" s="193"/>
      <c r="I51" s="189"/>
      <c r="J51" s="195">
        <v>100602809</v>
      </c>
      <c r="K51" s="33">
        <v>1319.9271835679999</v>
      </c>
      <c r="L51" s="30" t="s">
        <v>24</v>
      </c>
      <c r="M51" s="34">
        <v>2900</v>
      </c>
      <c r="N51" s="34">
        <v>122</v>
      </c>
      <c r="O51" s="37">
        <f>0.64*0.35*0.46</f>
        <v>0.10303999999999999</v>
      </c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</row>
    <row r="52" spans="1:69" s="17" customFormat="1" ht="18" customHeight="1" thickBot="1" x14ac:dyDescent="0.3">
      <c r="A52" s="47"/>
      <c r="B52" s="29" t="s">
        <v>748</v>
      </c>
      <c r="C52" s="30">
        <v>15</v>
      </c>
      <c r="D52" s="31">
        <v>20</v>
      </c>
      <c r="E52" s="30">
        <v>84</v>
      </c>
      <c r="F52" s="31">
        <v>38.5</v>
      </c>
      <c r="G52" s="32" t="s">
        <v>27</v>
      </c>
      <c r="H52" s="193"/>
      <c r="I52" s="189"/>
      <c r="J52" s="195">
        <v>100601432</v>
      </c>
      <c r="K52" s="33">
        <v>1598</v>
      </c>
      <c r="L52" s="30" t="s">
        <v>24</v>
      </c>
      <c r="M52" s="34">
        <v>2900</v>
      </c>
      <c r="N52" s="34">
        <v>137</v>
      </c>
      <c r="O52" s="37">
        <f>0.82*0.35*0.57</f>
        <v>0.16358999999999999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</row>
    <row r="53" spans="1:69" s="17" customFormat="1" ht="18" customHeight="1" thickBot="1" x14ac:dyDescent="0.3">
      <c r="A53" s="47"/>
      <c r="B53" s="29" t="s">
        <v>749</v>
      </c>
      <c r="C53" s="30">
        <v>15</v>
      </c>
      <c r="D53" s="31">
        <v>20</v>
      </c>
      <c r="E53" s="30">
        <v>84</v>
      </c>
      <c r="F53" s="31">
        <v>41</v>
      </c>
      <c r="G53" s="32" t="s">
        <v>27</v>
      </c>
      <c r="H53" s="193"/>
      <c r="I53" s="189"/>
      <c r="J53" s="195">
        <v>100602045</v>
      </c>
      <c r="K53" s="33">
        <v>1712</v>
      </c>
      <c r="L53" s="30" t="s">
        <v>24</v>
      </c>
      <c r="M53" s="34">
        <v>2900</v>
      </c>
      <c r="N53" s="34">
        <v>145</v>
      </c>
      <c r="O53" s="37">
        <f>0.82*0.35*0.57</f>
        <v>0.16358999999999999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</row>
    <row r="54" spans="1:69" s="17" customFormat="1" ht="18" customHeight="1" thickBot="1" x14ac:dyDescent="0.3">
      <c r="A54" s="47"/>
      <c r="B54" s="29" t="s">
        <v>750</v>
      </c>
      <c r="C54" s="30">
        <v>18.5</v>
      </c>
      <c r="D54" s="31">
        <v>25</v>
      </c>
      <c r="E54" s="30">
        <v>84</v>
      </c>
      <c r="F54" s="31">
        <v>49</v>
      </c>
      <c r="G54" s="32" t="s">
        <v>27</v>
      </c>
      <c r="H54" s="193"/>
      <c r="I54" s="189"/>
      <c r="J54" s="195">
        <v>100602810</v>
      </c>
      <c r="K54" s="33">
        <v>2060</v>
      </c>
      <c r="L54" s="30" t="s">
        <v>24</v>
      </c>
      <c r="M54" s="34">
        <v>2900</v>
      </c>
      <c r="N54" s="34">
        <v>158</v>
      </c>
      <c r="O54" s="37">
        <f>0.82*0.35*0.57</f>
        <v>0.16358999999999999</v>
      </c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</row>
    <row r="55" spans="1:69" s="17" customFormat="1" ht="18" customHeight="1" thickBot="1" x14ac:dyDescent="0.3">
      <c r="A55" s="47"/>
      <c r="B55" s="29" t="s">
        <v>751</v>
      </c>
      <c r="C55" s="30">
        <v>22</v>
      </c>
      <c r="D55" s="31">
        <v>30</v>
      </c>
      <c r="E55" s="30">
        <v>90</v>
      </c>
      <c r="F55" s="31">
        <v>55</v>
      </c>
      <c r="G55" s="32" t="s">
        <v>27</v>
      </c>
      <c r="H55" s="193"/>
      <c r="I55" s="189"/>
      <c r="J55" s="195">
        <v>100602811</v>
      </c>
      <c r="K55" s="33">
        <v>2130</v>
      </c>
      <c r="L55" s="30" t="s">
        <v>24</v>
      </c>
      <c r="M55" s="34">
        <v>2900</v>
      </c>
      <c r="N55" s="34">
        <v>165</v>
      </c>
      <c r="O55" s="37">
        <f>0.82*0.35*0.57</f>
        <v>0.16358999999999999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</row>
    <row r="56" spans="1:69" s="17" customFormat="1" ht="18" customHeight="1" thickBot="1" x14ac:dyDescent="0.3">
      <c r="A56" s="47"/>
      <c r="B56" s="29" t="s">
        <v>752</v>
      </c>
      <c r="C56" s="30">
        <v>22</v>
      </c>
      <c r="D56" s="31">
        <v>30</v>
      </c>
      <c r="E56" s="30">
        <v>90</v>
      </c>
      <c r="F56" s="31">
        <v>58.5</v>
      </c>
      <c r="G56" s="32" t="s">
        <v>27</v>
      </c>
      <c r="H56" s="193"/>
      <c r="I56" s="189"/>
      <c r="J56" s="195">
        <v>100602812</v>
      </c>
      <c r="K56" s="33">
        <v>2340</v>
      </c>
      <c r="L56" s="30" t="s">
        <v>24</v>
      </c>
      <c r="M56" s="34">
        <v>2900</v>
      </c>
      <c r="N56" s="34">
        <v>195</v>
      </c>
      <c r="O56" s="37">
        <f>0.92*0.43*0.55</f>
        <v>0.21758000000000002</v>
      </c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</row>
    <row r="57" spans="1:69" s="17" customFormat="1" ht="18" customHeight="1" thickBot="1" x14ac:dyDescent="0.3">
      <c r="A57" s="47"/>
      <c r="B57" s="29" t="s">
        <v>753</v>
      </c>
      <c r="C57" s="30">
        <v>30</v>
      </c>
      <c r="D57" s="31">
        <v>40</v>
      </c>
      <c r="E57" s="30">
        <v>90</v>
      </c>
      <c r="F57" s="31">
        <v>74.5</v>
      </c>
      <c r="G57" s="32" t="s">
        <v>27</v>
      </c>
      <c r="H57" s="193"/>
      <c r="I57" s="189"/>
      <c r="J57" s="195">
        <v>100602813</v>
      </c>
      <c r="K57" s="33">
        <v>3080</v>
      </c>
      <c r="L57" s="30" t="s">
        <v>24</v>
      </c>
      <c r="M57" s="34">
        <v>2900</v>
      </c>
      <c r="N57" s="34">
        <v>241</v>
      </c>
      <c r="O57" s="37">
        <f>0.92*0.43*0.61</f>
        <v>0.241316</v>
      </c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</row>
    <row r="58" spans="1:69" s="17" customFormat="1" ht="18" customHeight="1" thickBot="1" x14ac:dyDescent="0.3">
      <c r="A58" s="47"/>
      <c r="B58" s="29" t="s">
        <v>754</v>
      </c>
      <c r="C58" s="30">
        <v>37</v>
      </c>
      <c r="D58" s="31">
        <v>50</v>
      </c>
      <c r="E58" s="30">
        <v>90</v>
      </c>
      <c r="F58" s="31">
        <v>85</v>
      </c>
      <c r="G58" s="32" t="s">
        <v>27</v>
      </c>
      <c r="H58" s="193"/>
      <c r="I58" s="189"/>
      <c r="J58" s="195">
        <v>100602814</v>
      </c>
      <c r="K58" s="33">
        <v>3340</v>
      </c>
      <c r="L58" s="30" t="s">
        <v>24</v>
      </c>
      <c r="M58" s="34">
        <v>2900</v>
      </c>
      <c r="N58" s="34">
        <v>310</v>
      </c>
      <c r="O58" s="37">
        <f>0.92*0.43*0.61</f>
        <v>0.241316</v>
      </c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</row>
    <row r="59" spans="1:69" s="17" customFormat="1" ht="18" customHeight="1" thickBot="1" x14ac:dyDescent="0.3">
      <c r="A59" s="47"/>
      <c r="B59" s="39" t="s">
        <v>755</v>
      </c>
      <c r="C59" s="30">
        <v>45</v>
      </c>
      <c r="D59" s="31">
        <v>60</v>
      </c>
      <c r="E59" s="30">
        <v>90</v>
      </c>
      <c r="F59" s="31">
        <v>94.5</v>
      </c>
      <c r="G59" s="32" t="s">
        <v>27</v>
      </c>
      <c r="H59" s="193"/>
      <c r="I59" s="189"/>
      <c r="J59" s="197">
        <v>100602815</v>
      </c>
      <c r="K59" s="40" t="s">
        <v>28</v>
      </c>
      <c r="L59" s="30" t="s">
        <v>24</v>
      </c>
      <c r="M59" s="34">
        <v>2900</v>
      </c>
      <c r="N59" s="34">
        <v>371</v>
      </c>
      <c r="O59" s="37">
        <f>1.1*0.47*0.62</f>
        <v>0.32053999999999999</v>
      </c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</row>
    <row r="60" spans="1:69" s="17" customFormat="1" ht="18" customHeight="1" thickBot="1" x14ac:dyDescent="0.3">
      <c r="A60" s="47"/>
      <c r="B60" s="39" t="s">
        <v>756</v>
      </c>
      <c r="C60" s="30">
        <v>55</v>
      </c>
      <c r="D60" s="31">
        <v>75</v>
      </c>
      <c r="E60" s="30">
        <v>120</v>
      </c>
      <c r="F60" s="31">
        <v>110</v>
      </c>
      <c r="G60" s="32" t="s">
        <v>27</v>
      </c>
      <c r="H60" s="193"/>
      <c r="I60" s="189"/>
      <c r="J60" s="197">
        <v>100602816</v>
      </c>
      <c r="K60" s="40" t="s">
        <v>28</v>
      </c>
      <c r="L60" s="30" t="s">
        <v>24</v>
      </c>
      <c r="M60" s="34">
        <v>2900</v>
      </c>
      <c r="N60" s="34">
        <v>450</v>
      </c>
      <c r="O60" s="37">
        <f>1.19*0.47*0.62</f>
        <v>0.34676599999999996</v>
      </c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</row>
    <row r="61" spans="1:69" s="17" customFormat="1" ht="18" customHeight="1" thickBot="1" x14ac:dyDescent="0.3">
      <c r="A61" s="47"/>
      <c r="B61" s="39" t="s">
        <v>757</v>
      </c>
      <c r="C61" s="30">
        <v>75</v>
      </c>
      <c r="D61" s="31">
        <v>100</v>
      </c>
      <c r="E61" s="30">
        <v>144</v>
      </c>
      <c r="F61" s="31">
        <v>120</v>
      </c>
      <c r="G61" s="32" t="s">
        <v>27</v>
      </c>
      <c r="H61" s="193"/>
      <c r="I61" s="189"/>
      <c r="J61" s="197">
        <v>100602817</v>
      </c>
      <c r="K61" s="40" t="s">
        <v>28</v>
      </c>
      <c r="L61" s="30" t="s">
        <v>24</v>
      </c>
      <c r="M61" s="34">
        <v>2900</v>
      </c>
      <c r="N61" s="34">
        <v>582</v>
      </c>
      <c r="O61" s="37">
        <f>1.26*0.47*0.62</f>
        <v>0.36716399999999999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</row>
    <row r="62" spans="1:69" s="17" customFormat="1" ht="18" customHeight="1" thickBot="1" x14ac:dyDescent="0.3">
      <c r="A62" s="47"/>
      <c r="B62" s="39" t="s">
        <v>758</v>
      </c>
      <c r="C62" s="30">
        <v>90</v>
      </c>
      <c r="D62" s="31">
        <v>125</v>
      </c>
      <c r="E62" s="30">
        <v>144</v>
      </c>
      <c r="F62" s="31">
        <v>130</v>
      </c>
      <c r="G62" s="32" t="s">
        <v>27</v>
      </c>
      <c r="H62" s="193"/>
      <c r="I62" s="189"/>
      <c r="J62" s="197">
        <v>100602818</v>
      </c>
      <c r="K62" s="40" t="s">
        <v>28</v>
      </c>
      <c r="L62" s="30" t="s">
        <v>24</v>
      </c>
      <c r="M62" s="34">
        <v>2900</v>
      </c>
      <c r="N62" s="34">
        <v>617</v>
      </c>
      <c r="O62" s="37">
        <f>1.31*0.47*0.62</f>
        <v>0.38173400000000002</v>
      </c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</row>
    <row r="63" spans="1:69" s="17" customFormat="1" ht="18" customHeight="1" thickBot="1" x14ac:dyDescent="0.3">
      <c r="A63" s="47"/>
      <c r="B63" s="29" t="s">
        <v>759</v>
      </c>
      <c r="C63" s="30">
        <v>4</v>
      </c>
      <c r="D63" s="31">
        <v>5.5</v>
      </c>
      <c r="E63" s="30">
        <v>60</v>
      </c>
      <c r="F63" s="31">
        <v>15</v>
      </c>
      <c r="G63" s="32" t="s">
        <v>29</v>
      </c>
      <c r="H63" s="193"/>
      <c r="I63" s="189"/>
      <c r="J63" s="195">
        <v>100602819</v>
      </c>
      <c r="K63" s="33">
        <v>659.80771415999993</v>
      </c>
      <c r="L63" s="30" t="s">
        <v>24</v>
      </c>
      <c r="M63" s="34">
        <v>2900</v>
      </c>
      <c r="N63" s="34">
        <v>66</v>
      </c>
      <c r="O63" s="37">
        <f>0.64*0.32*0.43</f>
        <v>8.8064000000000003E-2</v>
      </c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</row>
    <row r="64" spans="1:69" s="17" customFormat="1" ht="18" customHeight="1" thickBot="1" x14ac:dyDescent="0.3">
      <c r="A64" s="47"/>
      <c r="B64" s="29" t="s">
        <v>760</v>
      </c>
      <c r="C64" s="30">
        <v>5.5</v>
      </c>
      <c r="D64" s="31">
        <v>7.5</v>
      </c>
      <c r="E64" s="30">
        <v>90</v>
      </c>
      <c r="F64" s="31">
        <v>17.399999999999999</v>
      </c>
      <c r="G64" s="32" t="s">
        <v>29</v>
      </c>
      <c r="H64" s="193"/>
      <c r="I64" s="189"/>
      <c r="J64" s="195">
        <v>100602820</v>
      </c>
      <c r="K64" s="33">
        <v>731.60049412800004</v>
      </c>
      <c r="L64" s="30" t="s">
        <v>24</v>
      </c>
      <c r="M64" s="34">
        <v>2900</v>
      </c>
      <c r="N64" s="34">
        <v>72</v>
      </c>
      <c r="O64" s="37">
        <f>0.64*0.32*0.43</f>
        <v>8.8064000000000003E-2</v>
      </c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</row>
    <row r="65" spans="1:69" s="17" customFormat="1" ht="18" customHeight="1" thickBot="1" x14ac:dyDescent="0.3">
      <c r="A65" s="47"/>
      <c r="B65" s="29" t="s">
        <v>761</v>
      </c>
      <c r="C65" s="30">
        <v>7.5</v>
      </c>
      <c r="D65" s="31">
        <v>10</v>
      </c>
      <c r="E65" s="30">
        <v>90</v>
      </c>
      <c r="F65" s="31">
        <v>23</v>
      </c>
      <c r="G65" s="32" t="s">
        <v>29</v>
      </c>
      <c r="H65" s="193"/>
      <c r="I65" s="189"/>
      <c r="J65" s="195">
        <v>100602821</v>
      </c>
      <c r="K65" s="33">
        <v>769</v>
      </c>
      <c r="L65" s="30" t="s">
        <v>24</v>
      </c>
      <c r="M65" s="34">
        <v>2900</v>
      </c>
      <c r="N65" s="34">
        <v>74</v>
      </c>
      <c r="O65" s="37">
        <f>0.64*0.32*0.43</f>
        <v>8.8064000000000003E-2</v>
      </c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</row>
    <row r="66" spans="1:69" s="17" customFormat="1" ht="18" customHeight="1" thickBot="1" x14ac:dyDescent="0.3">
      <c r="A66" s="47"/>
      <c r="B66" s="29" t="s">
        <v>762</v>
      </c>
      <c r="C66" s="30">
        <v>11</v>
      </c>
      <c r="D66" s="31">
        <v>15</v>
      </c>
      <c r="E66" s="30">
        <v>90</v>
      </c>
      <c r="F66" s="31">
        <v>27.3</v>
      </c>
      <c r="G66" s="32" t="s">
        <v>29</v>
      </c>
      <c r="H66" s="193"/>
      <c r="I66" s="189"/>
      <c r="J66" s="195">
        <v>100602822</v>
      </c>
      <c r="K66" s="33">
        <v>1427.1264524160001</v>
      </c>
      <c r="L66" s="30" t="s">
        <v>24</v>
      </c>
      <c r="M66" s="34">
        <v>2900</v>
      </c>
      <c r="N66" s="34">
        <v>128</v>
      </c>
      <c r="O66" s="37">
        <f>0.64*0.35*0.46</f>
        <v>0.10303999999999999</v>
      </c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</row>
    <row r="67" spans="1:69" s="17" customFormat="1" ht="18" customHeight="1" thickBot="1" x14ac:dyDescent="0.3">
      <c r="A67" s="47"/>
      <c r="B67" s="29" t="s">
        <v>763</v>
      </c>
      <c r="C67" s="30">
        <v>15</v>
      </c>
      <c r="D67" s="31">
        <v>20</v>
      </c>
      <c r="E67" s="30">
        <v>144</v>
      </c>
      <c r="F67" s="31">
        <v>27</v>
      </c>
      <c r="G67" s="32" t="s">
        <v>29</v>
      </c>
      <c r="H67" s="193"/>
      <c r="I67" s="189"/>
      <c r="J67" s="195">
        <v>100602823</v>
      </c>
      <c r="K67" s="33">
        <v>1705</v>
      </c>
      <c r="L67" s="30" t="s">
        <v>24</v>
      </c>
      <c r="M67" s="34">
        <v>2900</v>
      </c>
      <c r="N67" s="34">
        <v>145</v>
      </c>
      <c r="O67" s="37">
        <f>0.82*0.35*0.57</f>
        <v>0.16358999999999999</v>
      </c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</row>
    <row r="68" spans="1:69" s="17" customFormat="1" ht="18" customHeight="1" thickBot="1" x14ac:dyDescent="0.3">
      <c r="A68" s="62"/>
      <c r="B68" s="29" t="s">
        <v>764</v>
      </c>
      <c r="C68" s="30">
        <v>18.5</v>
      </c>
      <c r="D68" s="31">
        <v>25</v>
      </c>
      <c r="E68" s="30">
        <v>144</v>
      </c>
      <c r="F68" s="31">
        <v>33.6</v>
      </c>
      <c r="G68" s="32" t="s">
        <v>29</v>
      </c>
      <c r="H68" s="193"/>
      <c r="I68" s="189"/>
      <c r="J68" s="195">
        <v>100602824</v>
      </c>
      <c r="K68" s="33">
        <v>2060</v>
      </c>
      <c r="L68" s="30" t="s">
        <v>24</v>
      </c>
      <c r="M68" s="34">
        <v>2900</v>
      </c>
      <c r="N68" s="34">
        <v>156</v>
      </c>
      <c r="O68" s="37">
        <f>0.82*0.35*0.57</f>
        <v>0.16358999999999999</v>
      </c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</row>
    <row r="69" spans="1:69" s="17" customFormat="1" ht="18" customHeight="1" thickBot="1" x14ac:dyDescent="0.3">
      <c r="A69" s="47"/>
      <c r="B69" s="29" t="s">
        <v>765</v>
      </c>
      <c r="C69" s="30">
        <v>22</v>
      </c>
      <c r="D69" s="31">
        <v>30</v>
      </c>
      <c r="E69" s="30">
        <v>144</v>
      </c>
      <c r="F69" s="31">
        <v>38.6</v>
      </c>
      <c r="G69" s="32" t="s">
        <v>29</v>
      </c>
      <c r="H69" s="193"/>
      <c r="I69" s="189"/>
      <c r="J69" s="195">
        <v>100602825</v>
      </c>
      <c r="K69" s="33">
        <v>2210</v>
      </c>
      <c r="L69" s="30" t="s">
        <v>24</v>
      </c>
      <c r="M69" s="34">
        <v>2900</v>
      </c>
      <c r="N69" s="34">
        <v>206</v>
      </c>
      <c r="O69" s="37">
        <f>0.82*0.35*0.57</f>
        <v>0.16358999999999999</v>
      </c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</row>
    <row r="70" spans="1:69" s="17" customFormat="1" ht="18" customHeight="1" thickBot="1" x14ac:dyDescent="0.3">
      <c r="A70" s="47"/>
      <c r="B70" s="39" t="s">
        <v>766</v>
      </c>
      <c r="C70" s="30">
        <v>22</v>
      </c>
      <c r="D70" s="31">
        <v>30</v>
      </c>
      <c r="E70" s="30">
        <v>144</v>
      </c>
      <c r="F70" s="31">
        <v>39.200000000000003</v>
      </c>
      <c r="G70" s="32" t="s">
        <v>29</v>
      </c>
      <c r="H70" s="193"/>
      <c r="I70" s="189"/>
      <c r="J70" s="197">
        <v>100602826</v>
      </c>
      <c r="K70" s="41">
        <v>2458.6800315840001</v>
      </c>
      <c r="L70" s="30" t="s">
        <v>24</v>
      </c>
      <c r="M70" s="34">
        <v>2900</v>
      </c>
      <c r="N70" s="34">
        <v>208</v>
      </c>
      <c r="O70" s="37">
        <f>0.92*0.43*0.55</f>
        <v>0.21758000000000002</v>
      </c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</row>
    <row r="71" spans="1:69" s="17" customFormat="1" ht="18" customHeight="1" thickBot="1" x14ac:dyDescent="0.3">
      <c r="A71" s="47"/>
      <c r="B71" s="29" t="s">
        <v>767</v>
      </c>
      <c r="C71" s="30">
        <v>30</v>
      </c>
      <c r="D71" s="31">
        <v>40</v>
      </c>
      <c r="E71" s="30">
        <v>144</v>
      </c>
      <c r="F71" s="31">
        <v>53.1</v>
      </c>
      <c r="G71" s="32" t="s">
        <v>29</v>
      </c>
      <c r="H71" s="193"/>
      <c r="I71" s="189"/>
      <c r="J71" s="195">
        <v>100602827</v>
      </c>
      <c r="K71" s="33">
        <v>3080</v>
      </c>
      <c r="L71" s="30" t="s">
        <v>24</v>
      </c>
      <c r="M71" s="34">
        <v>2900</v>
      </c>
      <c r="N71" s="34">
        <v>220</v>
      </c>
      <c r="O71" s="37">
        <f>0.92*0.43*0.66</f>
        <v>0.26109599999999999</v>
      </c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</row>
    <row r="72" spans="1:69" s="17" customFormat="1" ht="18" customHeight="1" thickBot="1" x14ac:dyDescent="0.3">
      <c r="A72" s="47"/>
      <c r="B72" s="29" t="s">
        <v>768</v>
      </c>
      <c r="C72" s="30">
        <v>37</v>
      </c>
      <c r="D72" s="31">
        <v>50</v>
      </c>
      <c r="E72" s="30">
        <v>144</v>
      </c>
      <c r="F72" s="31">
        <v>59.3</v>
      </c>
      <c r="G72" s="32" t="s">
        <v>29</v>
      </c>
      <c r="H72" s="193"/>
      <c r="I72" s="189"/>
      <c r="J72" s="195">
        <v>100602828</v>
      </c>
      <c r="K72" s="33" t="s">
        <v>697</v>
      </c>
      <c r="L72" s="30" t="s">
        <v>24</v>
      </c>
      <c r="M72" s="34">
        <v>2900</v>
      </c>
      <c r="N72" s="34">
        <v>299</v>
      </c>
      <c r="O72" s="37">
        <f>0.92*0.43*0.65</f>
        <v>0.25714000000000004</v>
      </c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</row>
    <row r="73" spans="1:69" s="17" customFormat="1" ht="18" customHeight="1" thickBot="1" x14ac:dyDescent="0.3">
      <c r="A73" s="47"/>
      <c r="B73" s="29" t="s">
        <v>769</v>
      </c>
      <c r="C73" s="30">
        <v>45</v>
      </c>
      <c r="D73" s="31">
        <v>60</v>
      </c>
      <c r="E73" s="30">
        <v>144</v>
      </c>
      <c r="F73" s="31">
        <v>78.5</v>
      </c>
      <c r="G73" s="32" t="s">
        <v>29</v>
      </c>
      <c r="H73" s="193"/>
      <c r="I73" s="189"/>
      <c r="J73" s="195">
        <v>100602829</v>
      </c>
      <c r="K73" s="33" t="s">
        <v>698</v>
      </c>
      <c r="L73" s="30" t="s">
        <v>24</v>
      </c>
      <c r="M73" s="34">
        <v>2900</v>
      </c>
      <c r="N73" s="34">
        <v>350</v>
      </c>
      <c r="O73" s="37">
        <f>1*0.45*0.69</f>
        <v>0.3105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</row>
    <row r="74" spans="1:69" s="17" customFormat="1" ht="18" customHeight="1" thickBot="1" x14ac:dyDescent="0.3">
      <c r="A74" s="47"/>
      <c r="B74" s="39" t="s">
        <v>770</v>
      </c>
      <c r="C74" s="30">
        <v>55</v>
      </c>
      <c r="D74" s="31">
        <v>75</v>
      </c>
      <c r="E74" s="30">
        <v>144</v>
      </c>
      <c r="F74" s="31">
        <v>87</v>
      </c>
      <c r="G74" s="32" t="s">
        <v>29</v>
      </c>
      <c r="H74" s="193"/>
      <c r="I74" s="189"/>
      <c r="J74" s="197">
        <v>100602830</v>
      </c>
      <c r="K74" s="40" t="s">
        <v>28</v>
      </c>
      <c r="L74" s="30" t="s">
        <v>24</v>
      </c>
      <c r="M74" s="34">
        <v>2900</v>
      </c>
      <c r="N74" s="34">
        <v>394</v>
      </c>
      <c r="O74" s="37">
        <f>1.05*0.53*0.72</f>
        <v>0.40068000000000004</v>
      </c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</row>
    <row r="75" spans="1:69" s="17" customFormat="1" ht="18" customHeight="1" thickBot="1" x14ac:dyDescent="0.3">
      <c r="A75" s="47"/>
      <c r="B75" s="39" t="s">
        <v>771</v>
      </c>
      <c r="C75" s="30">
        <v>45</v>
      </c>
      <c r="D75" s="31">
        <v>60</v>
      </c>
      <c r="E75" s="30">
        <v>144</v>
      </c>
      <c r="F75" s="31">
        <v>78</v>
      </c>
      <c r="G75" s="32" t="s">
        <v>29</v>
      </c>
      <c r="H75" s="193"/>
      <c r="I75" s="189"/>
      <c r="J75" s="197">
        <v>100602831</v>
      </c>
      <c r="K75" s="40" t="s">
        <v>28</v>
      </c>
      <c r="L75" s="30" t="s">
        <v>24</v>
      </c>
      <c r="M75" s="34">
        <v>2900</v>
      </c>
      <c r="N75" s="34">
        <v>381</v>
      </c>
      <c r="O75" s="37">
        <f>1.1*0.48*0.68</f>
        <v>0.35904000000000003</v>
      </c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</row>
    <row r="76" spans="1:69" s="17" customFormat="1" ht="18" customHeight="1" thickBot="1" x14ac:dyDescent="0.3">
      <c r="A76" s="47"/>
      <c r="B76" s="29" t="s">
        <v>772</v>
      </c>
      <c r="C76" s="30">
        <v>55</v>
      </c>
      <c r="D76" s="31">
        <v>75</v>
      </c>
      <c r="E76" s="30">
        <v>144</v>
      </c>
      <c r="F76" s="31">
        <v>91</v>
      </c>
      <c r="G76" s="32" t="s">
        <v>29</v>
      </c>
      <c r="H76" s="193"/>
      <c r="I76" s="189"/>
      <c r="J76" s="195">
        <v>100602832</v>
      </c>
      <c r="K76" s="33" t="s">
        <v>699</v>
      </c>
      <c r="L76" s="30" t="s">
        <v>24</v>
      </c>
      <c r="M76" s="34">
        <v>2900</v>
      </c>
      <c r="N76" s="34">
        <v>460</v>
      </c>
      <c r="O76" s="37">
        <f>1.19*0.48*0.68</f>
        <v>0.38841599999999998</v>
      </c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</row>
    <row r="77" spans="1:69" s="17" customFormat="1" ht="18" customHeight="1" thickBot="1" x14ac:dyDescent="0.3">
      <c r="A77" s="47"/>
      <c r="B77" s="39" t="s">
        <v>773</v>
      </c>
      <c r="C77" s="30">
        <v>75</v>
      </c>
      <c r="D77" s="31">
        <v>100</v>
      </c>
      <c r="E77" s="30">
        <v>180</v>
      </c>
      <c r="F77" s="31">
        <v>107.3</v>
      </c>
      <c r="G77" s="32" t="s">
        <v>29</v>
      </c>
      <c r="H77" s="193"/>
      <c r="I77" s="189"/>
      <c r="J77" s="197">
        <v>100602833</v>
      </c>
      <c r="K77" s="40" t="s">
        <v>28</v>
      </c>
      <c r="L77" s="30" t="s">
        <v>24</v>
      </c>
      <c r="M77" s="34">
        <v>2900</v>
      </c>
      <c r="N77" s="34">
        <v>592</v>
      </c>
      <c r="O77" s="37">
        <f>1.26*0.48*0.68</f>
        <v>0.41126400000000002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</row>
    <row r="78" spans="1:69" s="17" customFormat="1" ht="18" customHeight="1" thickBot="1" x14ac:dyDescent="0.3">
      <c r="A78" s="47"/>
      <c r="B78" s="39" t="s">
        <v>774</v>
      </c>
      <c r="C78" s="30">
        <v>90</v>
      </c>
      <c r="D78" s="31">
        <v>125</v>
      </c>
      <c r="E78" s="30">
        <v>180</v>
      </c>
      <c r="F78" s="31">
        <v>127.3</v>
      </c>
      <c r="G78" s="32" t="s">
        <v>29</v>
      </c>
      <c r="H78" s="193"/>
      <c r="I78" s="189"/>
      <c r="J78" s="197">
        <v>100602834</v>
      </c>
      <c r="K78" s="40" t="s">
        <v>28</v>
      </c>
      <c r="L78" s="30" t="s">
        <v>24</v>
      </c>
      <c r="M78" s="34">
        <v>2900</v>
      </c>
      <c r="N78" s="34">
        <v>627</v>
      </c>
      <c r="O78" s="37">
        <f>1.31*0.48*0.68</f>
        <v>0.42758400000000008</v>
      </c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</row>
    <row r="79" spans="1:69" s="17" customFormat="1" ht="18" customHeight="1" thickBot="1" x14ac:dyDescent="0.3">
      <c r="A79" s="47"/>
      <c r="B79" s="29" t="s">
        <v>775</v>
      </c>
      <c r="C79" s="30">
        <v>15</v>
      </c>
      <c r="D79" s="31">
        <v>20</v>
      </c>
      <c r="E79" s="30">
        <v>180</v>
      </c>
      <c r="F79" s="31">
        <v>24.5</v>
      </c>
      <c r="G79" s="32" t="s">
        <v>30</v>
      </c>
      <c r="H79" s="193"/>
      <c r="I79" s="189"/>
      <c r="J79" s="195">
        <v>100602835</v>
      </c>
      <c r="K79" s="33">
        <v>1800</v>
      </c>
      <c r="L79" s="30" t="s">
        <v>24</v>
      </c>
      <c r="M79" s="34">
        <v>2900</v>
      </c>
      <c r="N79" s="34">
        <v>146</v>
      </c>
      <c r="O79" s="37">
        <f>0.82*0.35*0.57</f>
        <v>0.16358999999999999</v>
      </c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</row>
    <row r="80" spans="1:69" s="17" customFormat="1" ht="18" customHeight="1" thickBot="1" x14ac:dyDescent="0.3">
      <c r="A80" s="47"/>
      <c r="B80" s="29" t="s">
        <v>776</v>
      </c>
      <c r="C80" s="30">
        <v>18.5</v>
      </c>
      <c r="D80" s="31">
        <v>25</v>
      </c>
      <c r="E80" s="30">
        <v>180</v>
      </c>
      <c r="F80" s="31">
        <v>29</v>
      </c>
      <c r="G80" s="32" t="s">
        <v>30</v>
      </c>
      <c r="H80" s="193"/>
      <c r="I80" s="189"/>
      <c r="J80" s="195">
        <v>100602836</v>
      </c>
      <c r="K80" s="33">
        <v>2140</v>
      </c>
      <c r="L80" s="30" t="s">
        <v>24</v>
      </c>
      <c r="M80" s="34">
        <v>2900</v>
      </c>
      <c r="N80" s="34">
        <v>157</v>
      </c>
      <c r="O80" s="37">
        <f>0.82*0.35*0.57</f>
        <v>0.16358999999999999</v>
      </c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</row>
    <row r="81" spans="1:69" s="17" customFormat="1" ht="18" customHeight="1" thickBot="1" x14ac:dyDescent="0.3">
      <c r="A81" s="47"/>
      <c r="B81" s="29" t="s">
        <v>777</v>
      </c>
      <c r="C81" s="30">
        <v>22</v>
      </c>
      <c r="D81" s="31">
        <v>30</v>
      </c>
      <c r="E81" s="30">
        <v>180</v>
      </c>
      <c r="F81" s="31">
        <v>31.5</v>
      </c>
      <c r="G81" s="32" t="s">
        <v>30</v>
      </c>
      <c r="H81" s="193"/>
      <c r="I81" s="189"/>
      <c r="J81" s="195">
        <v>100602837</v>
      </c>
      <c r="K81" s="33">
        <v>2380</v>
      </c>
      <c r="L81" s="30" t="s">
        <v>24</v>
      </c>
      <c r="M81" s="34">
        <v>2900</v>
      </c>
      <c r="N81" s="34">
        <v>166</v>
      </c>
      <c r="O81" s="37">
        <f>0.82*0.35*0.57</f>
        <v>0.16358999999999999</v>
      </c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</row>
    <row r="82" spans="1:69" s="17" customFormat="1" ht="18" customHeight="1" thickBot="1" x14ac:dyDescent="0.3">
      <c r="A82" s="47"/>
      <c r="B82" s="29" t="s">
        <v>778</v>
      </c>
      <c r="C82" s="30">
        <v>22</v>
      </c>
      <c r="D82" s="31">
        <v>30</v>
      </c>
      <c r="E82" s="30">
        <v>200</v>
      </c>
      <c r="F82" s="31">
        <v>26.8</v>
      </c>
      <c r="G82" s="32" t="s">
        <v>30</v>
      </c>
      <c r="H82" s="193"/>
      <c r="I82" s="189"/>
      <c r="J82" s="195">
        <v>100602838</v>
      </c>
      <c r="K82" s="33">
        <v>2473.1098459199998</v>
      </c>
      <c r="L82" s="30" t="s">
        <v>24</v>
      </c>
      <c r="M82" s="34">
        <v>2900</v>
      </c>
      <c r="N82" s="34">
        <v>216</v>
      </c>
      <c r="O82" s="37">
        <f>0.92*0.43*0.55</f>
        <v>0.21758000000000002</v>
      </c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</row>
    <row r="83" spans="1:69" s="17" customFormat="1" ht="18" customHeight="1" thickBot="1" x14ac:dyDescent="0.3">
      <c r="A83" s="47"/>
      <c r="B83" s="29" t="s">
        <v>779</v>
      </c>
      <c r="C83" s="30">
        <v>30</v>
      </c>
      <c r="D83" s="31">
        <v>40</v>
      </c>
      <c r="E83" s="30">
        <v>200</v>
      </c>
      <c r="F83" s="31">
        <v>34.200000000000003</v>
      </c>
      <c r="G83" s="32" t="s">
        <v>30</v>
      </c>
      <c r="H83" s="193"/>
      <c r="I83" s="189"/>
      <c r="J83" s="195">
        <v>100601427</v>
      </c>
      <c r="K83" s="33">
        <v>3150.1531716479994</v>
      </c>
      <c r="L83" s="30" t="s">
        <v>24</v>
      </c>
      <c r="M83" s="34">
        <v>2900</v>
      </c>
      <c r="N83" s="34">
        <v>267</v>
      </c>
      <c r="O83" s="37">
        <f>0.92*0.43*0.66</f>
        <v>0.26109599999999999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</row>
    <row r="84" spans="1:69" s="17" customFormat="1" ht="18" customHeight="1" thickBot="1" x14ac:dyDescent="0.3">
      <c r="A84" s="47"/>
      <c r="B84" s="29" t="s">
        <v>780</v>
      </c>
      <c r="C84" s="30">
        <v>37</v>
      </c>
      <c r="D84" s="31">
        <v>50</v>
      </c>
      <c r="E84" s="30">
        <v>200</v>
      </c>
      <c r="F84" s="31">
        <v>45</v>
      </c>
      <c r="G84" s="32" t="s">
        <v>30</v>
      </c>
      <c r="H84" s="193"/>
      <c r="I84" s="189"/>
      <c r="J84" s="195">
        <v>100601428</v>
      </c>
      <c r="K84" s="33">
        <v>3500</v>
      </c>
      <c r="L84" s="30" t="s">
        <v>24</v>
      </c>
      <c r="M84" s="34">
        <v>2900</v>
      </c>
      <c r="N84" s="34">
        <v>287</v>
      </c>
      <c r="O84" s="37">
        <f>0.92*0.43*0.65</f>
        <v>0.25714000000000004</v>
      </c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</row>
    <row r="85" spans="1:69" s="17" customFormat="1" ht="18" customHeight="1" thickBot="1" x14ac:dyDescent="0.3">
      <c r="A85" s="47"/>
      <c r="B85" s="29" t="s">
        <v>781</v>
      </c>
      <c r="C85" s="30">
        <v>45</v>
      </c>
      <c r="D85" s="31">
        <v>60</v>
      </c>
      <c r="E85" s="30">
        <v>200</v>
      </c>
      <c r="F85" s="31">
        <v>56</v>
      </c>
      <c r="G85" s="32" t="s">
        <v>30</v>
      </c>
      <c r="H85" s="193"/>
      <c r="I85" s="189"/>
      <c r="J85" s="195">
        <v>100602839</v>
      </c>
      <c r="K85" s="33">
        <v>4490</v>
      </c>
      <c r="L85" s="30" t="s">
        <v>24</v>
      </c>
      <c r="M85" s="34">
        <v>2900</v>
      </c>
      <c r="N85" s="34">
        <v>366</v>
      </c>
      <c r="O85" s="37">
        <f>1*0.45*0.69</f>
        <v>0.3105</v>
      </c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</row>
    <row r="86" spans="1:69" s="17" customFormat="1" ht="18" customHeight="1" thickBot="1" x14ac:dyDescent="0.3">
      <c r="A86" s="47"/>
      <c r="B86" s="29" t="s">
        <v>782</v>
      </c>
      <c r="C86" s="30">
        <v>55</v>
      </c>
      <c r="D86" s="31">
        <v>75</v>
      </c>
      <c r="E86" s="30">
        <v>200</v>
      </c>
      <c r="F86" s="31">
        <v>71.7</v>
      </c>
      <c r="G86" s="32" t="s">
        <v>30</v>
      </c>
      <c r="H86" s="193"/>
      <c r="I86" s="189"/>
      <c r="J86" s="195">
        <v>100601429</v>
      </c>
      <c r="K86" s="33">
        <v>5570</v>
      </c>
      <c r="L86" s="30" t="s">
        <v>24</v>
      </c>
      <c r="M86" s="34">
        <v>2900</v>
      </c>
      <c r="N86" s="34">
        <v>445</v>
      </c>
      <c r="O86" s="37">
        <f>1.05*0.53*0.72</f>
        <v>0.40068000000000004</v>
      </c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</row>
    <row r="87" spans="1:69" s="17" customFormat="1" ht="18" customHeight="1" thickBot="1" x14ac:dyDescent="0.3">
      <c r="A87" s="47"/>
      <c r="B87" s="29" t="s">
        <v>783</v>
      </c>
      <c r="C87" s="30">
        <v>75</v>
      </c>
      <c r="D87" s="31">
        <v>100</v>
      </c>
      <c r="E87" s="30">
        <v>240</v>
      </c>
      <c r="F87" s="31">
        <v>78</v>
      </c>
      <c r="G87" s="32" t="s">
        <v>30</v>
      </c>
      <c r="H87" s="193"/>
      <c r="I87" s="189"/>
      <c r="J87" s="195">
        <v>100602840</v>
      </c>
      <c r="K87" s="33">
        <v>6800</v>
      </c>
      <c r="L87" s="30" t="s">
        <v>24</v>
      </c>
      <c r="M87" s="34">
        <v>2900</v>
      </c>
      <c r="N87" s="34">
        <v>577</v>
      </c>
      <c r="O87" s="37">
        <f>1.05*0.53*0.72</f>
        <v>0.40068000000000004</v>
      </c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</row>
    <row r="88" spans="1:69" s="17" customFormat="1" ht="18" customHeight="1" thickBot="1" x14ac:dyDescent="0.3">
      <c r="A88" s="47"/>
      <c r="B88" s="39" t="s">
        <v>784</v>
      </c>
      <c r="C88" s="30">
        <v>90</v>
      </c>
      <c r="D88" s="31">
        <v>125</v>
      </c>
      <c r="E88" s="30">
        <v>240</v>
      </c>
      <c r="F88" s="31">
        <v>87</v>
      </c>
      <c r="G88" s="32" t="s">
        <v>30</v>
      </c>
      <c r="H88" s="193"/>
      <c r="I88" s="189"/>
      <c r="J88" s="197">
        <v>100602841</v>
      </c>
      <c r="K88" s="40" t="s">
        <v>28</v>
      </c>
      <c r="L88" s="30" t="s">
        <v>24</v>
      </c>
      <c r="M88" s="34">
        <v>2900</v>
      </c>
      <c r="N88" s="34">
        <v>612</v>
      </c>
      <c r="O88" s="37">
        <f>1.33*0.45*0.69</f>
        <v>0.41296499999999997</v>
      </c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</row>
    <row r="89" spans="1:69" s="17" customFormat="1" ht="18" customHeight="1" thickBot="1" x14ac:dyDescent="0.3">
      <c r="A89" s="47"/>
      <c r="B89" s="39" t="s">
        <v>785</v>
      </c>
      <c r="C89" s="30">
        <v>75</v>
      </c>
      <c r="D89" s="31">
        <v>100</v>
      </c>
      <c r="E89" s="30">
        <v>240</v>
      </c>
      <c r="F89" s="31">
        <v>70.7</v>
      </c>
      <c r="G89" s="32" t="s">
        <v>30</v>
      </c>
      <c r="H89" s="193"/>
      <c r="I89" s="189"/>
      <c r="J89" s="197">
        <v>100602842</v>
      </c>
      <c r="K89" s="40" t="s">
        <v>28</v>
      </c>
      <c r="L89" s="30" t="s">
        <v>24</v>
      </c>
      <c r="M89" s="34">
        <v>2900</v>
      </c>
      <c r="N89" s="34">
        <v>591</v>
      </c>
      <c r="O89" s="37">
        <f>1.29*0.51*0.74</f>
        <v>0.486846</v>
      </c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</row>
    <row r="90" spans="1:69" s="17" customFormat="1" ht="18" customHeight="1" thickBot="1" x14ac:dyDescent="0.3">
      <c r="A90" s="47"/>
      <c r="B90" s="39" t="s">
        <v>786</v>
      </c>
      <c r="C90" s="30">
        <v>90</v>
      </c>
      <c r="D90" s="31">
        <v>125</v>
      </c>
      <c r="E90" s="30">
        <v>240</v>
      </c>
      <c r="F90" s="31">
        <v>90.7</v>
      </c>
      <c r="G90" s="32" t="s">
        <v>30</v>
      </c>
      <c r="H90" s="193"/>
      <c r="I90" s="189"/>
      <c r="J90" s="197">
        <v>100602843</v>
      </c>
      <c r="K90" s="40" t="s">
        <v>28</v>
      </c>
      <c r="L90" s="30" t="s">
        <v>24</v>
      </c>
      <c r="M90" s="34">
        <v>2900</v>
      </c>
      <c r="N90" s="34">
        <v>626</v>
      </c>
      <c r="O90" s="37">
        <f>1.34*0.51*0.74</f>
        <v>0.50571600000000005</v>
      </c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</row>
    <row r="91" spans="1:69" s="17" customFormat="1" ht="18" customHeight="1" thickBot="1" x14ac:dyDescent="0.3">
      <c r="A91" s="47"/>
      <c r="B91" s="39" t="s">
        <v>787</v>
      </c>
      <c r="C91" s="30">
        <v>110</v>
      </c>
      <c r="D91" s="31">
        <v>150</v>
      </c>
      <c r="E91" s="30">
        <v>240</v>
      </c>
      <c r="F91" s="31">
        <v>108.7</v>
      </c>
      <c r="G91" s="32" t="s">
        <v>30</v>
      </c>
      <c r="H91" s="193"/>
      <c r="I91" s="189"/>
      <c r="J91" s="197">
        <v>100602844</v>
      </c>
      <c r="K91" s="40" t="s">
        <v>28</v>
      </c>
      <c r="L91" s="30" t="s">
        <v>24</v>
      </c>
      <c r="M91" s="34">
        <v>2900</v>
      </c>
      <c r="N91" s="34">
        <v>972</v>
      </c>
      <c r="O91" s="37">
        <f>1.5*0.51*0.74</f>
        <v>0.56610000000000005</v>
      </c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</row>
    <row r="92" spans="1:69" s="17" customFormat="1" ht="18" customHeight="1" thickBot="1" x14ac:dyDescent="0.3">
      <c r="A92" s="47"/>
      <c r="B92" s="39" t="s">
        <v>788</v>
      </c>
      <c r="C92" s="30">
        <v>132</v>
      </c>
      <c r="D92" s="31">
        <v>180</v>
      </c>
      <c r="E92" s="30">
        <v>240</v>
      </c>
      <c r="F92" s="31">
        <v>119.7</v>
      </c>
      <c r="G92" s="32" t="s">
        <v>30</v>
      </c>
      <c r="H92" s="193"/>
      <c r="I92" s="189"/>
      <c r="J92" s="197">
        <v>100602845</v>
      </c>
      <c r="K92" s="40" t="s">
        <v>28</v>
      </c>
      <c r="L92" s="30" t="s">
        <v>24</v>
      </c>
      <c r="M92" s="34">
        <v>2900</v>
      </c>
      <c r="N92" s="34">
        <v>1087</v>
      </c>
      <c r="O92" s="37">
        <f>1.61*0.51*0.74</f>
        <v>0.60761399999999999</v>
      </c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</row>
    <row r="93" spans="1:69" s="17" customFormat="1" ht="18" customHeight="1" thickBot="1" x14ac:dyDescent="0.3">
      <c r="A93" s="47"/>
      <c r="B93" s="39" t="s">
        <v>789</v>
      </c>
      <c r="C93" s="30">
        <v>160</v>
      </c>
      <c r="D93" s="31">
        <v>220</v>
      </c>
      <c r="E93" s="30">
        <v>240</v>
      </c>
      <c r="F93" s="31">
        <v>138.69999999999999</v>
      </c>
      <c r="G93" s="32" t="s">
        <v>30</v>
      </c>
      <c r="H93" s="193"/>
      <c r="I93" s="189"/>
      <c r="J93" s="197">
        <v>100602846</v>
      </c>
      <c r="K93" s="40" t="s">
        <v>28</v>
      </c>
      <c r="L93" s="30" t="s">
        <v>24</v>
      </c>
      <c r="M93" s="34">
        <v>2900</v>
      </c>
      <c r="N93" s="34">
        <v>1125</v>
      </c>
      <c r="O93" s="37">
        <f>1.61*0.51*0.74</f>
        <v>0.60761399999999999</v>
      </c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</row>
    <row r="94" spans="1:69" s="17" customFormat="1" ht="18" customHeight="1" thickBot="1" x14ac:dyDescent="0.3">
      <c r="A94" s="47"/>
      <c r="B94" s="39" t="s">
        <v>790</v>
      </c>
      <c r="C94" s="30">
        <v>45</v>
      </c>
      <c r="D94" s="31">
        <v>60</v>
      </c>
      <c r="E94" s="30">
        <v>280</v>
      </c>
      <c r="F94" s="31">
        <v>35</v>
      </c>
      <c r="G94" s="32" t="s">
        <v>31</v>
      </c>
      <c r="H94" s="193"/>
      <c r="I94" s="189"/>
      <c r="J94" s="197">
        <v>100602847</v>
      </c>
      <c r="K94" s="40" t="s">
        <v>28</v>
      </c>
      <c r="L94" s="30" t="s">
        <v>24</v>
      </c>
      <c r="M94" s="34">
        <v>2900</v>
      </c>
      <c r="N94" s="34">
        <v>378</v>
      </c>
      <c r="O94" s="37">
        <f>1.13*0.45*0.68</f>
        <v>0.34577999999999998</v>
      </c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</row>
    <row r="95" spans="1:69" s="17" customFormat="1" ht="18" customHeight="1" thickBot="1" x14ac:dyDescent="0.3">
      <c r="A95" s="47"/>
      <c r="B95" s="39" t="s">
        <v>791</v>
      </c>
      <c r="C95" s="30">
        <v>55</v>
      </c>
      <c r="D95" s="31">
        <v>75</v>
      </c>
      <c r="E95" s="30">
        <v>280</v>
      </c>
      <c r="F95" s="31">
        <v>45</v>
      </c>
      <c r="G95" s="32" t="s">
        <v>31</v>
      </c>
      <c r="H95" s="193"/>
      <c r="I95" s="189"/>
      <c r="J95" s="197">
        <v>100602848</v>
      </c>
      <c r="K95" s="40" t="s">
        <v>28</v>
      </c>
      <c r="L95" s="30" t="s">
        <v>24</v>
      </c>
      <c r="M95" s="34">
        <v>2900</v>
      </c>
      <c r="N95" s="34">
        <v>457</v>
      </c>
      <c r="O95" s="37">
        <f>1.22*0.45*0.68</f>
        <v>0.37332000000000004</v>
      </c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</row>
    <row r="96" spans="1:69" s="17" customFormat="1" ht="18" customHeight="1" thickBot="1" x14ac:dyDescent="0.3">
      <c r="A96" s="47"/>
      <c r="B96" s="39" t="s">
        <v>792</v>
      </c>
      <c r="C96" s="30">
        <v>75</v>
      </c>
      <c r="D96" s="31">
        <v>100</v>
      </c>
      <c r="E96" s="30">
        <v>280</v>
      </c>
      <c r="F96" s="31">
        <v>56</v>
      </c>
      <c r="G96" s="32" t="s">
        <v>31</v>
      </c>
      <c r="H96" s="193"/>
      <c r="I96" s="189"/>
      <c r="J96" s="197">
        <v>100602849</v>
      </c>
      <c r="K96" s="40" t="s">
        <v>28</v>
      </c>
      <c r="L96" s="30" t="s">
        <v>24</v>
      </c>
      <c r="M96" s="34">
        <v>2900</v>
      </c>
      <c r="N96" s="34">
        <v>589</v>
      </c>
      <c r="O96" s="37">
        <f>1.29*0.45*0.68</f>
        <v>0.39474000000000004</v>
      </c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</row>
    <row r="97" spans="1:69" s="17" customFormat="1" ht="18" customHeight="1" thickBot="1" x14ac:dyDescent="0.3">
      <c r="A97" s="47"/>
      <c r="B97" s="39" t="s">
        <v>793</v>
      </c>
      <c r="C97" s="30">
        <v>55</v>
      </c>
      <c r="D97" s="31">
        <v>75</v>
      </c>
      <c r="E97" s="30">
        <v>200</v>
      </c>
      <c r="F97" s="31">
        <v>63</v>
      </c>
      <c r="G97" s="32" t="s">
        <v>31</v>
      </c>
      <c r="H97" s="193"/>
      <c r="I97" s="189"/>
      <c r="J97" s="197">
        <v>100602850</v>
      </c>
      <c r="K97" s="40" t="s">
        <v>28</v>
      </c>
      <c r="L97" s="30" t="s">
        <v>24</v>
      </c>
      <c r="M97" s="34">
        <v>2900</v>
      </c>
      <c r="N97" s="34">
        <v>457</v>
      </c>
      <c r="O97" s="37">
        <f>1.22*0.53*0.72</f>
        <v>0.46555200000000002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</row>
    <row r="98" spans="1:69" s="17" customFormat="1" ht="18" customHeight="1" thickBot="1" x14ac:dyDescent="0.3">
      <c r="A98" s="47"/>
      <c r="B98" s="29" t="s">
        <v>794</v>
      </c>
      <c r="C98" s="30">
        <v>75</v>
      </c>
      <c r="D98" s="31">
        <v>100</v>
      </c>
      <c r="E98" s="30">
        <v>240</v>
      </c>
      <c r="F98" s="31">
        <v>70</v>
      </c>
      <c r="G98" s="32" t="s">
        <v>31</v>
      </c>
      <c r="H98" s="193"/>
      <c r="I98" s="189"/>
      <c r="J98" s="195">
        <v>100601430</v>
      </c>
      <c r="K98" s="33">
        <v>7070</v>
      </c>
      <c r="L98" s="30" t="s">
        <v>24</v>
      </c>
      <c r="M98" s="34">
        <v>2900</v>
      </c>
      <c r="N98" s="34">
        <v>589</v>
      </c>
      <c r="O98" s="37">
        <f>1.29*0.53*0.72</f>
        <v>0.49226400000000003</v>
      </c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</row>
    <row r="99" spans="1:69" s="17" customFormat="1" ht="18" customHeight="1" thickBot="1" x14ac:dyDescent="0.3">
      <c r="A99" s="47"/>
      <c r="B99" s="39" t="s">
        <v>795</v>
      </c>
      <c r="C99" s="30">
        <v>90</v>
      </c>
      <c r="D99" s="31">
        <v>125</v>
      </c>
      <c r="E99" s="30">
        <v>280</v>
      </c>
      <c r="F99" s="31">
        <v>73.5</v>
      </c>
      <c r="G99" s="32" t="s">
        <v>31</v>
      </c>
      <c r="H99" s="193"/>
      <c r="I99" s="189"/>
      <c r="J99" s="197">
        <v>100602851</v>
      </c>
      <c r="K99" s="40" t="s">
        <v>28</v>
      </c>
      <c r="L99" s="30" t="s">
        <v>24</v>
      </c>
      <c r="M99" s="34">
        <v>2900</v>
      </c>
      <c r="N99" s="34">
        <v>624</v>
      </c>
      <c r="O99" s="37">
        <f>1.34*0.53*0.72</f>
        <v>0.51134400000000002</v>
      </c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</row>
    <row r="100" spans="1:69" s="1" customFormat="1" ht="8.25" customHeight="1" thickBot="1" x14ac:dyDescent="0.3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69" s="1" customFormat="1" ht="15" customHeight="1" x14ac:dyDescent="0.25">
      <c r="B101" s="180" t="s">
        <v>32</v>
      </c>
      <c r="C101" s="45" t="s">
        <v>33</v>
      </c>
      <c r="D101" s="45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7"/>
    </row>
    <row r="102" spans="1:69" s="1" customFormat="1" ht="15" customHeight="1" x14ac:dyDescent="0.25">
      <c r="B102" s="181" t="s">
        <v>308</v>
      </c>
      <c r="C102" s="50" t="s">
        <v>701</v>
      </c>
      <c r="D102" s="50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</row>
    <row r="103" spans="1:69" s="167" customFormat="1" ht="15" customHeight="1" x14ac:dyDescent="0.25">
      <c r="B103" s="181" t="s">
        <v>702</v>
      </c>
      <c r="C103" s="50" t="s">
        <v>703</v>
      </c>
      <c r="D103" s="5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69" s="1" customFormat="1" ht="15" customHeight="1" x14ac:dyDescent="0.25">
      <c r="B104" s="181" t="s">
        <v>36</v>
      </c>
      <c r="C104" s="53" t="s">
        <v>37</v>
      </c>
      <c r="D104" s="53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69" s="167" customFormat="1" ht="15" customHeight="1" x14ac:dyDescent="0.25">
      <c r="B105" s="181" t="s">
        <v>704</v>
      </c>
      <c r="C105" s="208" t="s">
        <v>705</v>
      </c>
      <c r="D105" s="53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69" s="1" customFormat="1" ht="15" customHeight="1" x14ac:dyDescent="0.25">
      <c r="B106" s="205" t="s">
        <v>59</v>
      </c>
      <c r="C106" s="323" t="s">
        <v>60</v>
      </c>
      <c r="D106" s="324"/>
      <c r="E106" s="324"/>
      <c r="F106" s="324"/>
      <c r="G106" s="324"/>
      <c r="H106" s="324"/>
      <c r="I106" s="324"/>
      <c r="J106" s="324"/>
      <c r="K106" s="324"/>
      <c r="L106" s="324"/>
      <c r="M106" s="324"/>
      <c r="N106" s="324"/>
      <c r="O106" s="324"/>
    </row>
    <row r="107" spans="1:69" s="1" customFormat="1" x14ac:dyDescent="0.25">
      <c r="B107" s="64"/>
      <c r="H107" s="175"/>
      <c r="J107" s="167"/>
    </row>
    <row r="108" spans="1:69" s="1" customFormat="1" x14ac:dyDescent="0.25">
      <c r="B108" s="64"/>
      <c r="H108" s="175"/>
      <c r="J108" s="167"/>
    </row>
    <row r="109" spans="1:69" s="1" customFormat="1" x14ac:dyDescent="0.25">
      <c r="B109" s="64"/>
      <c r="H109" s="175"/>
      <c r="J109" s="167"/>
    </row>
    <row r="110" spans="1:69" s="1" customFormat="1" x14ac:dyDescent="0.25">
      <c r="B110" s="64"/>
      <c r="H110" s="175"/>
      <c r="J110" s="167"/>
    </row>
    <row r="111" spans="1:69" s="1" customFormat="1" x14ac:dyDescent="0.25">
      <c r="B111" s="64"/>
      <c r="H111" s="175"/>
      <c r="J111" s="167"/>
    </row>
    <row r="112" spans="1:69" s="1" customFormat="1" x14ac:dyDescent="0.25">
      <c r="B112" s="64"/>
      <c r="H112" s="175"/>
      <c r="J112" s="167"/>
    </row>
    <row r="113" spans="2:10" s="1" customFormat="1" x14ac:dyDescent="0.25">
      <c r="B113" s="64"/>
      <c r="H113" s="175"/>
      <c r="J113" s="167"/>
    </row>
    <row r="114" spans="2:10" s="1" customFormat="1" x14ac:dyDescent="0.25">
      <c r="B114" s="64"/>
      <c r="H114" s="175"/>
      <c r="J114" s="167"/>
    </row>
    <row r="115" spans="2:10" s="1" customFormat="1" x14ac:dyDescent="0.25">
      <c r="B115" s="64"/>
      <c r="H115" s="175"/>
      <c r="J115" s="167"/>
    </row>
    <row r="116" spans="2:10" s="1" customFormat="1" x14ac:dyDescent="0.25">
      <c r="B116" s="64"/>
      <c r="H116" s="175"/>
      <c r="J116" s="167"/>
    </row>
    <row r="117" spans="2:10" s="1" customFormat="1" x14ac:dyDescent="0.25">
      <c r="B117" s="64"/>
      <c r="H117" s="175"/>
      <c r="J117" s="167"/>
    </row>
    <row r="118" spans="2:10" s="1" customFormat="1" x14ac:dyDescent="0.25">
      <c r="B118" s="64"/>
      <c r="H118" s="175"/>
      <c r="J118" s="167"/>
    </row>
    <row r="119" spans="2:10" s="1" customFormat="1" x14ac:dyDescent="0.25">
      <c r="B119" s="64"/>
      <c r="H119" s="175"/>
      <c r="J119" s="167"/>
    </row>
    <row r="120" spans="2:10" s="1" customFormat="1" x14ac:dyDescent="0.25">
      <c r="B120" s="64"/>
      <c r="H120" s="175"/>
      <c r="J120" s="167"/>
    </row>
    <row r="121" spans="2:10" s="1" customFormat="1" x14ac:dyDescent="0.25">
      <c r="B121" s="64"/>
      <c r="H121" s="175"/>
      <c r="J121" s="167"/>
    </row>
    <row r="122" spans="2:10" s="1" customFormat="1" x14ac:dyDescent="0.25">
      <c r="B122" s="64"/>
      <c r="H122" s="175"/>
      <c r="J122" s="167"/>
    </row>
    <row r="123" spans="2:10" s="1" customFormat="1" x14ac:dyDescent="0.25">
      <c r="B123" s="64"/>
      <c r="H123" s="175"/>
      <c r="J123" s="167"/>
    </row>
    <row r="124" spans="2:10" s="1" customFormat="1" x14ac:dyDescent="0.25">
      <c r="B124" s="64"/>
      <c r="H124" s="175"/>
      <c r="J124" s="167"/>
    </row>
    <row r="125" spans="2:10" s="1" customFormat="1" x14ac:dyDescent="0.25">
      <c r="B125" s="64"/>
      <c r="H125" s="175"/>
      <c r="J125" s="167"/>
    </row>
    <row r="126" spans="2:10" s="1" customFormat="1" x14ac:dyDescent="0.25">
      <c r="B126" s="64"/>
      <c r="H126" s="175"/>
      <c r="J126" s="167"/>
    </row>
    <row r="127" spans="2:10" s="1" customFormat="1" x14ac:dyDescent="0.25">
      <c r="B127" s="64"/>
      <c r="H127" s="175"/>
      <c r="J127" s="167"/>
    </row>
    <row r="128" spans="2:10" s="1" customFormat="1" x14ac:dyDescent="0.25">
      <c r="B128" s="64"/>
      <c r="H128" s="175"/>
      <c r="J128" s="167"/>
    </row>
    <row r="129" spans="2:10" s="1" customFormat="1" x14ac:dyDescent="0.25">
      <c r="B129" s="64"/>
      <c r="H129" s="175"/>
      <c r="J129" s="167"/>
    </row>
    <row r="130" spans="2:10" s="1" customFormat="1" x14ac:dyDescent="0.25">
      <c r="B130" s="64"/>
      <c r="H130" s="175"/>
      <c r="J130" s="167"/>
    </row>
    <row r="131" spans="2:10" s="1" customFormat="1" x14ac:dyDescent="0.25">
      <c r="B131" s="64"/>
      <c r="H131" s="175"/>
      <c r="J131" s="167"/>
    </row>
    <row r="132" spans="2:10" s="1" customFormat="1" x14ac:dyDescent="0.25">
      <c r="B132" s="64"/>
      <c r="H132" s="175"/>
      <c r="J132" s="167"/>
    </row>
    <row r="133" spans="2:10" s="1" customFormat="1" x14ac:dyDescent="0.25">
      <c r="B133" s="64"/>
      <c r="H133" s="175"/>
      <c r="J133" s="167"/>
    </row>
    <row r="134" spans="2:10" s="1" customFormat="1" x14ac:dyDescent="0.25">
      <c r="B134" s="64"/>
      <c r="H134" s="175"/>
      <c r="J134" s="167"/>
    </row>
    <row r="135" spans="2:10" s="1" customFormat="1" x14ac:dyDescent="0.25">
      <c r="B135" s="64"/>
      <c r="H135" s="175"/>
      <c r="J135" s="167"/>
    </row>
    <row r="136" spans="2:10" s="1" customFormat="1" x14ac:dyDescent="0.25">
      <c r="B136" s="64"/>
      <c r="H136" s="175"/>
      <c r="J136" s="167"/>
    </row>
    <row r="137" spans="2:10" s="1" customFormat="1" x14ac:dyDescent="0.25">
      <c r="B137" s="64"/>
      <c r="H137" s="175"/>
      <c r="J137" s="167"/>
    </row>
    <row r="138" spans="2:10" s="1" customFormat="1" x14ac:dyDescent="0.25">
      <c r="B138" s="64"/>
      <c r="H138" s="175"/>
      <c r="J138" s="167"/>
    </row>
    <row r="139" spans="2:10" s="1" customFormat="1" x14ac:dyDescent="0.25">
      <c r="B139" s="64"/>
      <c r="H139" s="175"/>
      <c r="J139" s="167"/>
    </row>
    <row r="140" spans="2:10" s="1" customFormat="1" x14ac:dyDescent="0.25">
      <c r="B140" s="64"/>
      <c r="H140" s="175"/>
      <c r="J140" s="167"/>
    </row>
    <row r="141" spans="2:10" s="1" customFormat="1" x14ac:dyDescent="0.25">
      <c r="B141" s="64"/>
      <c r="H141" s="175"/>
      <c r="J141" s="167"/>
    </row>
    <row r="142" spans="2:10" s="1" customFormat="1" x14ac:dyDescent="0.25">
      <c r="B142" s="64"/>
      <c r="H142" s="175"/>
      <c r="J142" s="167"/>
    </row>
    <row r="143" spans="2:10" s="1" customFormat="1" x14ac:dyDescent="0.25">
      <c r="B143" s="64"/>
      <c r="H143" s="175"/>
      <c r="J143" s="167"/>
    </row>
    <row r="144" spans="2:10" s="1" customFormat="1" x14ac:dyDescent="0.25">
      <c r="B144" s="64"/>
      <c r="H144" s="175"/>
      <c r="J144" s="167"/>
    </row>
    <row r="145" spans="2:10" s="1" customFormat="1" x14ac:dyDescent="0.25">
      <c r="B145" s="64"/>
      <c r="H145" s="175"/>
      <c r="J145" s="167"/>
    </row>
    <row r="146" spans="2:10" s="1" customFormat="1" x14ac:dyDescent="0.25">
      <c r="B146" s="64"/>
      <c r="H146" s="175"/>
      <c r="J146" s="167"/>
    </row>
    <row r="147" spans="2:10" s="1" customFormat="1" x14ac:dyDescent="0.25">
      <c r="B147" s="64"/>
      <c r="H147" s="175"/>
      <c r="J147" s="167"/>
    </row>
    <row r="148" spans="2:10" s="1" customFormat="1" x14ac:dyDescent="0.25">
      <c r="B148" s="64"/>
      <c r="H148" s="175"/>
      <c r="J148" s="167"/>
    </row>
    <row r="149" spans="2:10" s="1" customFormat="1" x14ac:dyDescent="0.25">
      <c r="B149" s="64"/>
      <c r="H149" s="175"/>
      <c r="J149" s="167"/>
    </row>
    <row r="150" spans="2:10" s="1" customFormat="1" x14ac:dyDescent="0.25">
      <c r="B150" s="64"/>
      <c r="H150" s="175"/>
      <c r="J150" s="167"/>
    </row>
    <row r="151" spans="2:10" s="1" customFormat="1" x14ac:dyDescent="0.25">
      <c r="B151" s="64"/>
      <c r="H151" s="175"/>
      <c r="J151" s="167"/>
    </row>
    <row r="152" spans="2:10" s="1" customFormat="1" x14ac:dyDescent="0.25">
      <c r="B152" s="64"/>
      <c r="H152" s="175"/>
      <c r="J152" s="167"/>
    </row>
    <row r="153" spans="2:10" s="1" customFormat="1" x14ac:dyDescent="0.25">
      <c r="B153" s="64"/>
      <c r="H153" s="175"/>
      <c r="J153" s="167"/>
    </row>
    <row r="154" spans="2:10" s="1" customFormat="1" x14ac:dyDescent="0.25">
      <c r="B154" s="64"/>
      <c r="H154" s="175"/>
      <c r="J154" s="167"/>
    </row>
    <row r="155" spans="2:10" s="1" customFormat="1" x14ac:dyDescent="0.25">
      <c r="B155" s="64"/>
      <c r="H155" s="175"/>
      <c r="J155" s="167"/>
    </row>
    <row r="156" spans="2:10" s="1" customFormat="1" x14ac:dyDescent="0.25">
      <c r="B156" s="64"/>
      <c r="H156" s="175"/>
      <c r="J156" s="167"/>
    </row>
    <row r="157" spans="2:10" s="1" customFormat="1" x14ac:dyDescent="0.25">
      <c r="B157" s="64"/>
      <c r="H157" s="175"/>
      <c r="J157" s="167"/>
    </row>
    <row r="158" spans="2:10" s="1" customFormat="1" x14ac:dyDescent="0.25">
      <c r="B158" s="64"/>
      <c r="H158" s="175"/>
      <c r="J158" s="167"/>
    </row>
    <row r="159" spans="2:10" s="1" customFormat="1" x14ac:dyDescent="0.25">
      <c r="B159" s="64"/>
      <c r="H159" s="175"/>
      <c r="J159" s="167"/>
    </row>
    <row r="160" spans="2:10" s="1" customFormat="1" x14ac:dyDescent="0.25">
      <c r="B160" s="64"/>
      <c r="H160" s="175"/>
      <c r="J160" s="167"/>
    </row>
    <row r="161" spans="2:10" s="1" customFormat="1" x14ac:dyDescent="0.25">
      <c r="B161" s="64"/>
      <c r="H161" s="175"/>
      <c r="J161" s="167"/>
    </row>
    <row r="162" spans="2:10" s="1" customFormat="1" x14ac:dyDescent="0.25">
      <c r="B162" s="64"/>
      <c r="H162" s="175"/>
      <c r="J162" s="167"/>
    </row>
    <row r="163" spans="2:10" s="1" customFormat="1" x14ac:dyDescent="0.25">
      <c r="B163" s="64"/>
      <c r="H163" s="175"/>
      <c r="J163" s="167"/>
    </row>
    <row r="164" spans="2:10" s="1" customFormat="1" x14ac:dyDescent="0.25">
      <c r="B164" s="64"/>
      <c r="H164" s="175"/>
      <c r="J164" s="167"/>
    </row>
    <row r="165" spans="2:10" s="1" customFormat="1" x14ac:dyDescent="0.25">
      <c r="B165" s="64"/>
      <c r="H165" s="175"/>
      <c r="J165" s="167"/>
    </row>
    <row r="166" spans="2:10" s="1" customFormat="1" x14ac:dyDescent="0.25">
      <c r="B166" s="64"/>
      <c r="H166" s="175"/>
      <c r="J166" s="167"/>
    </row>
    <row r="167" spans="2:10" s="1" customFormat="1" x14ac:dyDescent="0.25">
      <c r="B167" s="64"/>
      <c r="H167" s="175"/>
      <c r="J167" s="167"/>
    </row>
    <row r="168" spans="2:10" s="1" customFormat="1" x14ac:dyDescent="0.25">
      <c r="B168" s="64"/>
      <c r="H168" s="175"/>
      <c r="J168" s="167"/>
    </row>
    <row r="169" spans="2:10" s="1" customFormat="1" x14ac:dyDescent="0.25">
      <c r="B169" s="64"/>
      <c r="H169" s="175"/>
      <c r="J169" s="167"/>
    </row>
    <row r="170" spans="2:10" s="1" customFormat="1" x14ac:dyDescent="0.25">
      <c r="B170" s="64"/>
      <c r="H170" s="175"/>
      <c r="J170" s="167"/>
    </row>
    <row r="171" spans="2:10" s="1" customFormat="1" x14ac:dyDescent="0.25">
      <c r="B171" s="64"/>
      <c r="H171" s="175"/>
      <c r="J171" s="167"/>
    </row>
    <row r="172" spans="2:10" s="1" customFormat="1" x14ac:dyDescent="0.25">
      <c r="B172" s="64"/>
      <c r="H172" s="175"/>
      <c r="J172" s="167"/>
    </row>
    <row r="173" spans="2:10" s="1" customFormat="1" x14ac:dyDescent="0.25">
      <c r="B173" s="64"/>
      <c r="H173" s="175"/>
      <c r="J173" s="167"/>
    </row>
    <row r="174" spans="2:10" s="1" customFormat="1" x14ac:dyDescent="0.25">
      <c r="B174" s="64"/>
      <c r="H174" s="175"/>
      <c r="J174" s="167"/>
    </row>
    <row r="175" spans="2:10" s="1" customFormat="1" x14ac:dyDescent="0.25">
      <c r="B175" s="64"/>
      <c r="H175" s="175"/>
      <c r="J175" s="167"/>
    </row>
    <row r="176" spans="2:10" s="1" customFormat="1" x14ac:dyDescent="0.25">
      <c r="B176" s="64"/>
      <c r="H176" s="175"/>
      <c r="J176" s="167"/>
    </row>
    <row r="177" spans="2:10" s="1" customFormat="1" x14ac:dyDescent="0.25">
      <c r="B177" s="64"/>
      <c r="H177" s="175"/>
      <c r="J177" s="167"/>
    </row>
    <row r="178" spans="2:10" s="1" customFormat="1" x14ac:dyDescent="0.25">
      <c r="B178" s="64"/>
      <c r="H178" s="175"/>
      <c r="J178" s="167"/>
    </row>
    <row r="179" spans="2:10" s="1" customFormat="1" x14ac:dyDescent="0.25">
      <c r="B179" s="64"/>
      <c r="H179" s="175"/>
      <c r="J179" s="167"/>
    </row>
    <row r="180" spans="2:10" s="1" customFormat="1" x14ac:dyDescent="0.25">
      <c r="B180" s="64"/>
      <c r="H180" s="175"/>
      <c r="J180" s="167"/>
    </row>
    <row r="181" spans="2:10" s="1" customFormat="1" x14ac:dyDescent="0.25">
      <c r="B181" s="64"/>
      <c r="H181" s="175"/>
      <c r="J181" s="167"/>
    </row>
    <row r="182" spans="2:10" s="1" customFormat="1" x14ac:dyDescent="0.25">
      <c r="B182" s="64"/>
      <c r="H182" s="175"/>
      <c r="J182" s="167"/>
    </row>
    <row r="183" spans="2:10" s="1" customFormat="1" x14ac:dyDescent="0.25">
      <c r="B183" s="64"/>
      <c r="H183" s="175"/>
      <c r="J183" s="167"/>
    </row>
    <row r="184" spans="2:10" s="1" customFormat="1" x14ac:dyDescent="0.25">
      <c r="B184" s="64"/>
      <c r="H184" s="175"/>
      <c r="J184" s="167"/>
    </row>
    <row r="185" spans="2:10" s="1" customFormat="1" x14ac:dyDescent="0.25">
      <c r="B185" s="64"/>
      <c r="H185" s="175"/>
      <c r="J185" s="167"/>
    </row>
    <row r="186" spans="2:10" s="1" customFormat="1" x14ac:dyDescent="0.25">
      <c r="B186" s="64"/>
      <c r="H186" s="175"/>
      <c r="J186" s="167"/>
    </row>
    <row r="187" spans="2:10" s="1" customFormat="1" x14ac:dyDescent="0.25">
      <c r="B187" s="64"/>
      <c r="H187" s="175"/>
      <c r="J187" s="167"/>
    </row>
    <row r="188" spans="2:10" s="1" customFormat="1" x14ac:dyDescent="0.25">
      <c r="B188" s="64"/>
      <c r="H188" s="175"/>
      <c r="J188" s="167"/>
    </row>
    <row r="189" spans="2:10" s="1" customFormat="1" x14ac:dyDescent="0.25">
      <c r="B189" s="64"/>
      <c r="H189" s="175"/>
      <c r="J189" s="167"/>
    </row>
    <row r="190" spans="2:10" s="1" customFormat="1" x14ac:dyDescent="0.25">
      <c r="B190" s="64"/>
      <c r="H190" s="175"/>
      <c r="J190" s="167"/>
    </row>
    <row r="191" spans="2:10" s="1" customFormat="1" x14ac:dyDescent="0.25">
      <c r="B191" s="64"/>
      <c r="H191" s="175"/>
      <c r="J191" s="167"/>
    </row>
    <row r="192" spans="2:10" s="1" customFormat="1" x14ac:dyDescent="0.25">
      <c r="B192" s="64"/>
      <c r="H192" s="175"/>
      <c r="J192" s="167"/>
    </row>
    <row r="193" spans="2:10" s="1" customFormat="1" x14ac:dyDescent="0.25">
      <c r="B193" s="64"/>
      <c r="H193" s="175"/>
      <c r="J193" s="167"/>
    </row>
    <row r="194" spans="2:10" s="1" customFormat="1" x14ac:dyDescent="0.25">
      <c r="B194" s="64"/>
      <c r="H194" s="175"/>
      <c r="J194" s="167"/>
    </row>
    <row r="195" spans="2:10" s="1" customFormat="1" x14ac:dyDescent="0.25">
      <c r="B195" s="64"/>
      <c r="H195" s="175"/>
      <c r="J195" s="167"/>
    </row>
    <row r="196" spans="2:10" s="1" customFormat="1" x14ac:dyDescent="0.25">
      <c r="B196" s="64"/>
      <c r="H196" s="175"/>
      <c r="J196" s="167"/>
    </row>
    <row r="197" spans="2:10" s="1" customFormat="1" x14ac:dyDescent="0.25">
      <c r="B197" s="64"/>
      <c r="H197" s="175"/>
      <c r="J197" s="167"/>
    </row>
    <row r="198" spans="2:10" s="1" customFormat="1" x14ac:dyDescent="0.25">
      <c r="B198" s="64"/>
      <c r="H198" s="175"/>
      <c r="J198" s="167"/>
    </row>
    <row r="199" spans="2:10" s="1" customFormat="1" x14ac:dyDescent="0.25">
      <c r="B199" s="64"/>
      <c r="H199" s="175"/>
      <c r="J199" s="167"/>
    </row>
    <row r="200" spans="2:10" s="1" customFormat="1" x14ac:dyDescent="0.25">
      <c r="B200" s="64"/>
      <c r="H200" s="175"/>
      <c r="J200" s="167"/>
    </row>
    <row r="201" spans="2:10" s="1" customFormat="1" x14ac:dyDescent="0.25">
      <c r="B201" s="64"/>
      <c r="H201" s="175"/>
      <c r="J201" s="167"/>
    </row>
    <row r="202" spans="2:10" s="1" customFormat="1" x14ac:dyDescent="0.25">
      <c r="B202" s="64"/>
      <c r="H202" s="175"/>
      <c r="J202" s="167"/>
    </row>
    <row r="203" spans="2:10" s="1" customFormat="1" x14ac:dyDescent="0.25">
      <c r="B203" s="64"/>
      <c r="H203" s="175"/>
      <c r="J203" s="167"/>
    </row>
    <row r="204" spans="2:10" s="1" customFormat="1" x14ac:dyDescent="0.25">
      <c r="B204" s="64"/>
      <c r="H204" s="175"/>
      <c r="J204" s="167"/>
    </row>
    <row r="205" spans="2:10" s="1" customFormat="1" x14ac:dyDescent="0.25">
      <c r="B205" s="64"/>
      <c r="H205" s="175"/>
      <c r="J205" s="167"/>
    </row>
    <row r="206" spans="2:10" s="1" customFormat="1" x14ac:dyDescent="0.25">
      <c r="B206" s="64"/>
      <c r="H206" s="175"/>
      <c r="J206" s="167"/>
    </row>
    <row r="207" spans="2:10" s="1" customFormat="1" x14ac:dyDescent="0.25">
      <c r="B207" s="64"/>
      <c r="H207" s="175"/>
      <c r="J207" s="167"/>
    </row>
    <row r="208" spans="2:10" s="1" customFormat="1" x14ac:dyDescent="0.25">
      <c r="B208" s="64"/>
      <c r="H208" s="175"/>
      <c r="J208" s="167"/>
    </row>
    <row r="209" spans="2:10" s="1" customFormat="1" x14ac:dyDescent="0.25">
      <c r="B209" s="64"/>
      <c r="H209" s="175"/>
      <c r="J209" s="167"/>
    </row>
    <row r="210" spans="2:10" s="1" customFormat="1" x14ac:dyDescent="0.25">
      <c r="B210" s="64"/>
      <c r="H210" s="175"/>
      <c r="J210" s="167"/>
    </row>
    <row r="211" spans="2:10" s="1" customFormat="1" x14ac:dyDescent="0.25">
      <c r="B211" s="64"/>
      <c r="H211" s="175"/>
      <c r="J211" s="167"/>
    </row>
    <row r="212" spans="2:10" s="1" customFormat="1" x14ac:dyDescent="0.25">
      <c r="B212" s="64"/>
      <c r="H212" s="175"/>
      <c r="J212" s="167"/>
    </row>
    <row r="213" spans="2:10" s="1" customFormat="1" x14ac:dyDescent="0.25">
      <c r="B213" s="64"/>
      <c r="H213" s="175"/>
      <c r="J213" s="167"/>
    </row>
    <row r="214" spans="2:10" s="1" customFormat="1" x14ac:dyDescent="0.25">
      <c r="B214" s="64"/>
      <c r="H214" s="175"/>
      <c r="J214" s="167"/>
    </row>
    <row r="215" spans="2:10" s="1" customFormat="1" x14ac:dyDescent="0.25">
      <c r="B215" s="64"/>
      <c r="H215" s="175"/>
      <c r="J215" s="167"/>
    </row>
    <row r="216" spans="2:10" s="1" customFormat="1" x14ac:dyDescent="0.25">
      <c r="B216" s="64"/>
      <c r="H216" s="175"/>
      <c r="J216" s="167"/>
    </row>
    <row r="217" spans="2:10" s="1" customFormat="1" x14ac:dyDescent="0.25">
      <c r="B217" s="64"/>
      <c r="H217" s="175"/>
      <c r="J217" s="167"/>
    </row>
    <row r="218" spans="2:10" s="1" customFormat="1" x14ac:dyDescent="0.25">
      <c r="B218" s="64"/>
      <c r="H218" s="175"/>
      <c r="J218" s="167"/>
    </row>
    <row r="219" spans="2:10" s="1" customFormat="1" x14ac:dyDescent="0.25">
      <c r="B219" s="64"/>
      <c r="H219" s="175"/>
      <c r="J219" s="167"/>
    </row>
    <row r="220" spans="2:10" s="1" customFormat="1" x14ac:dyDescent="0.25">
      <c r="B220" s="64"/>
      <c r="H220" s="175"/>
      <c r="J220" s="167"/>
    </row>
    <row r="221" spans="2:10" s="1" customFormat="1" x14ac:dyDescent="0.25">
      <c r="B221" s="64"/>
      <c r="H221" s="175"/>
      <c r="J221" s="167"/>
    </row>
    <row r="222" spans="2:10" s="1" customFormat="1" x14ac:dyDescent="0.25">
      <c r="B222" s="64"/>
      <c r="H222" s="175"/>
      <c r="J222" s="167"/>
    </row>
    <row r="223" spans="2:10" s="1" customFormat="1" x14ac:dyDescent="0.25">
      <c r="B223" s="64"/>
      <c r="H223" s="175"/>
      <c r="J223" s="167"/>
    </row>
    <row r="224" spans="2:10" s="1" customFormat="1" x14ac:dyDescent="0.25">
      <c r="B224" s="64"/>
      <c r="H224" s="175"/>
      <c r="J224" s="167"/>
    </row>
    <row r="225" spans="2:10" s="1" customFormat="1" x14ac:dyDescent="0.25">
      <c r="B225" s="64"/>
      <c r="H225" s="175"/>
      <c r="J225" s="167"/>
    </row>
    <row r="226" spans="2:10" s="1" customFormat="1" x14ac:dyDescent="0.25">
      <c r="B226" s="64"/>
      <c r="H226" s="175"/>
      <c r="J226" s="167"/>
    </row>
    <row r="227" spans="2:10" s="1" customFormat="1" x14ac:dyDescent="0.25">
      <c r="B227" s="64"/>
      <c r="H227" s="175"/>
      <c r="J227" s="167"/>
    </row>
    <row r="228" spans="2:10" s="1" customFormat="1" x14ac:dyDescent="0.25">
      <c r="B228" s="64"/>
      <c r="H228" s="175"/>
      <c r="J228" s="167"/>
    </row>
    <row r="229" spans="2:10" s="1" customFormat="1" x14ac:dyDescent="0.25">
      <c r="B229" s="64"/>
      <c r="H229" s="175"/>
      <c r="J229" s="167"/>
    </row>
    <row r="230" spans="2:10" s="1" customFormat="1" x14ac:dyDescent="0.25">
      <c r="B230" s="64"/>
      <c r="H230" s="175"/>
      <c r="J230" s="167"/>
    </row>
  </sheetData>
  <mergeCells count="10">
    <mergeCell ref="A20:A21"/>
    <mergeCell ref="E8:F9"/>
    <mergeCell ref="B8:B10"/>
    <mergeCell ref="C8:D9"/>
    <mergeCell ref="J9:K9"/>
    <mergeCell ref="C106:O106"/>
    <mergeCell ref="L8:L10"/>
    <mergeCell ref="M8:M9"/>
    <mergeCell ref="H8:K8"/>
    <mergeCell ref="H9:I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4"/>
  <sheetViews>
    <sheetView zoomScaleNormal="100" workbookViewId="0">
      <selection activeCell="O69" sqref="O69"/>
    </sheetView>
  </sheetViews>
  <sheetFormatPr defaultRowHeight="15.75" x14ac:dyDescent="0.25"/>
  <cols>
    <col min="1" max="1" width="34.28515625" style="160" customWidth="1"/>
    <col min="2" max="2" width="28.5703125" style="57" customWidth="1"/>
    <col min="3" max="6" width="8.5703125" style="163" customWidth="1"/>
    <col min="7" max="7" width="10.85546875" style="163" customWidth="1"/>
    <col min="8" max="8" width="14.28515625" style="177" customWidth="1"/>
    <col min="9" max="13" width="10.85546875" style="163" customWidth="1"/>
    <col min="14" max="67" width="9.140625" style="160"/>
    <col min="68" max="256" width="9.140625" style="163"/>
    <col min="257" max="257" width="34.28515625" style="163" customWidth="1"/>
    <col min="258" max="258" width="25.7109375" style="163" customWidth="1"/>
    <col min="259" max="262" width="8.5703125" style="163" customWidth="1"/>
    <col min="263" max="269" width="10.85546875" style="163" customWidth="1"/>
    <col min="270" max="512" width="9.140625" style="163"/>
    <col min="513" max="513" width="34.28515625" style="163" customWidth="1"/>
    <col min="514" max="514" width="25.7109375" style="163" customWidth="1"/>
    <col min="515" max="518" width="8.5703125" style="163" customWidth="1"/>
    <col min="519" max="525" width="10.85546875" style="163" customWidth="1"/>
    <col min="526" max="768" width="9.140625" style="163"/>
    <col min="769" max="769" width="34.28515625" style="163" customWidth="1"/>
    <col min="770" max="770" width="25.7109375" style="163" customWidth="1"/>
    <col min="771" max="774" width="8.5703125" style="163" customWidth="1"/>
    <col min="775" max="781" width="10.85546875" style="163" customWidth="1"/>
    <col min="782" max="1024" width="9.140625" style="163"/>
    <col min="1025" max="1025" width="34.28515625" style="163" customWidth="1"/>
    <col min="1026" max="1026" width="25.7109375" style="163" customWidth="1"/>
    <col min="1027" max="1030" width="8.5703125" style="163" customWidth="1"/>
    <col min="1031" max="1037" width="10.85546875" style="163" customWidth="1"/>
    <col min="1038" max="1280" width="9.140625" style="163"/>
    <col min="1281" max="1281" width="34.28515625" style="163" customWidth="1"/>
    <col min="1282" max="1282" width="25.7109375" style="163" customWidth="1"/>
    <col min="1283" max="1286" width="8.5703125" style="163" customWidth="1"/>
    <col min="1287" max="1293" width="10.85546875" style="163" customWidth="1"/>
    <col min="1294" max="1536" width="9.140625" style="163"/>
    <col min="1537" max="1537" width="34.28515625" style="163" customWidth="1"/>
    <col min="1538" max="1538" width="25.7109375" style="163" customWidth="1"/>
    <col min="1539" max="1542" width="8.5703125" style="163" customWidth="1"/>
    <col min="1543" max="1549" width="10.85546875" style="163" customWidth="1"/>
    <col min="1550" max="1792" width="9.140625" style="163"/>
    <col min="1793" max="1793" width="34.28515625" style="163" customWidth="1"/>
    <col min="1794" max="1794" width="25.7109375" style="163" customWidth="1"/>
    <col min="1795" max="1798" width="8.5703125" style="163" customWidth="1"/>
    <col min="1799" max="1805" width="10.85546875" style="163" customWidth="1"/>
    <col min="1806" max="2048" width="9.140625" style="163"/>
    <col min="2049" max="2049" width="34.28515625" style="163" customWidth="1"/>
    <col min="2050" max="2050" width="25.7109375" style="163" customWidth="1"/>
    <col min="2051" max="2054" width="8.5703125" style="163" customWidth="1"/>
    <col min="2055" max="2061" width="10.85546875" style="163" customWidth="1"/>
    <col min="2062" max="2304" width="9.140625" style="163"/>
    <col min="2305" max="2305" width="34.28515625" style="163" customWidth="1"/>
    <col min="2306" max="2306" width="25.7109375" style="163" customWidth="1"/>
    <col min="2307" max="2310" width="8.5703125" style="163" customWidth="1"/>
    <col min="2311" max="2317" width="10.85546875" style="163" customWidth="1"/>
    <col min="2318" max="2560" width="9.140625" style="163"/>
    <col min="2561" max="2561" width="34.28515625" style="163" customWidth="1"/>
    <col min="2562" max="2562" width="25.7109375" style="163" customWidth="1"/>
    <col min="2563" max="2566" width="8.5703125" style="163" customWidth="1"/>
    <col min="2567" max="2573" width="10.85546875" style="163" customWidth="1"/>
    <col min="2574" max="2816" width="9.140625" style="163"/>
    <col min="2817" max="2817" width="34.28515625" style="163" customWidth="1"/>
    <col min="2818" max="2818" width="25.7109375" style="163" customWidth="1"/>
    <col min="2819" max="2822" width="8.5703125" style="163" customWidth="1"/>
    <col min="2823" max="2829" width="10.85546875" style="163" customWidth="1"/>
    <col min="2830" max="3072" width="9.140625" style="163"/>
    <col min="3073" max="3073" width="34.28515625" style="163" customWidth="1"/>
    <col min="3074" max="3074" width="25.7109375" style="163" customWidth="1"/>
    <col min="3075" max="3078" width="8.5703125" style="163" customWidth="1"/>
    <col min="3079" max="3085" width="10.85546875" style="163" customWidth="1"/>
    <col min="3086" max="3328" width="9.140625" style="163"/>
    <col min="3329" max="3329" width="34.28515625" style="163" customWidth="1"/>
    <col min="3330" max="3330" width="25.7109375" style="163" customWidth="1"/>
    <col min="3331" max="3334" width="8.5703125" style="163" customWidth="1"/>
    <col min="3335" max="3341" width="10.85546875" style="163" customWidth="1"/>
    <col min="3342" max="3584" width="9.140625" style="163"/>
    <col min="3585" max="3585" width="34.28515625" style="163" customWidth="1"/>
    <col min="3586" max="3586" width="25.7109375" style="163" customWidth="1"/>
    <col min="3587" max="3590" width="8.5703125" style="163" customWidth="1"/>
    <col min="3591" max="3597" width="10.85546875" style="163" customWidth="1"/>
    <col min="3598" max="3840" width="9.140625" style="163"/>
    <col min="3841" max="3841" width="34.28515625" style="163" customWidth="1"/>
    <col min="3842" max="3842" width="25.7109375" style="163" customWidth="1"/>
    <col min="3843" max="3846" width="8.5703125" style="163" customWidth="1"/>
    <col min="3847" max="3853" width="10.85546875" style="163" customWidth="1"/>
    <col min="3854" max="4096" width="9.140625" style="163"/>
    <col min="4097" max="4097" width="34.28515625" style="163" customWidth="1"/>
    <col min="4098" max="4098" width="25.7109375" style="163" customWidth="1"/>
    <col min="4099" max="4102" width="8.5703125" style="163" customWidth="1"/>
    <col min="4103" max="4109" width="10.85546875" style="163" customWidth="1"/>
    <col min="4110" max="4352" width="9.140625" style="163"/>
    <col min="4353" max="4353" width="34.28515625" style="163" customWidth="1"/>
    <col min="4354" max="4354" width="25.7109375" style="163" customWidth="1"/>
    <col min="4355" max="4358" width="8.5703125" style="163" customWidth="1"/>
    <col min="4359" max="4365" width="10.85546875" style="163" customWidth="1"/>
    <col min="4366" max="4608" width="9.140625" style="163"/>
    <col min="4609" max="4609" width="34.28515625" style="163" customWidth="1"/>
    <col min="4610" max="4610" width="25.7109375" style="163" customWidth="1"/>
    <col min="4611" max="4614" width="8.5703125" style="163" customWidth="1"/>
    <col min="4615" max="4621" width="10.85546875" style="163" customWidth="1"/>
    <col min="4622" max="4864" width="9.140625" style="163"/>
    <col min="4865" max="4865" width="34.28515625" style="163" customWidth="1"/>
    <col min="4866" max="4866" width="25.7109375" style="163" customWidth="1"/>
    <col min="4867" max="4870" width="8.5703125" style="163" customWidth="1"/>
    <col min="4871" max="4877" width="10.85546875" style="163" customWidth="1"/>
    <col min="4878" max="5120" width="9.140625" style="163"/>
    <col min="5121" max="5121" width="34.28515625" style="163" customWidth="1"/>
    <col min="5122" max="5122" width="25.7109375" style="163" customWidth="1"/>
    <col min="5123" max="5126" width="8.5703125" style="163" customWidth="1"/>
    <col min="5127" max="5133" width="10.85546875" style="163" customWidth="1"/>
    <col min="5134" max="5376" width="9.140625" style="163"/>
    <col min="5377" max="5377" width="34.28515625" style="163" customWidth="1"/>
    <col min="5378" max="5378" width="25.7109375" style="163" customWidth="1"/>
    <col min="5379" max="5382" width="8.5703125" style="163" customWidth="1"/>
    <col min="5383" max="5389" width="10.85546875" style="163" customWidth="1"/>
    <col min="5390" max="5632" width="9.140625" style="163"/>
    <col min="5633" max="5633" width="34.28515625" style="163" customWidth="1"/>
    <col min="5634" max="5634" width="25.7109375" style="163" customWidth="1"/>
    <col min="5635" max="5638" width="8.5703125" style="163" customWidth="1"/>
    <col min="5639" max="5645" width="10.85546875" style="163" customWidth="1"/>
    <col min="5646" max="5888" width="9.140625" style="163"/>
    <col min="5889" max="5889" width="34.28515625" style="163" customWidth="1"/>
    <col min="5890" max="5890" width="25.7109375" style="163" customWidth="1"/>
    <col min="5891" max="5894" width="8.5703125" style="163" customWidth="1"/>
    <col min="5895" max="5901" width="10.85546875" style="163" customWidth="1"/>
    <col min="5902" max="6144" width="9.140625" style="163"/>
    <col min="6145" max="6145" width="34.28515625" style="163" customWidth="1"/>
    <col min="6146" max="6146" width="25.7109375" style="163" customWidth="1"/>
    <col min="6147" max="6150" width="8.5703125" style="163" customWidth="1"/>
    <col min="6151" max="6157" width="10.85546875" style="163" customWidth="1"/>
    <col min="6158" max="6400" width="9.140625" style="163"/>
    <col min="6401" max="6401" width="34.28515625" style="163" customWidth="1"/>
    <col min="6402" max="6402" width="25.7109375" style="163" customWidth="1"/>
    <col min="6403" max="6406" width="8.5703125" style="163" customWidth="1"/>
    <col min="6407" max="6413" width="10.85546875" style="163" customWidth="1"/>
    <col min="6414" max="6656" width="9.140625" style="163"/>
    <col min="6657" max="6657" width="34.28515625" style="163" customWidth="1"/>
    <col min="6658" max="6658" width="25.7109375" style="163" customWidth="1"/>
    <col min="6659" max="6662" width="8.5703125" style="163" customWidth="1"/>
    <col min="6663" max="6669" width="10.85546875" style="163" customWidth="1"/>
    <col min="6670" max="6912" width="9.140625" style="163"/>
    <col min="6913" max="6913" width="34.28515625" style="163" customWidth="1"/>
    <col min="6914" max="6914" width="25.7109375" style="163" customWidth="1"/>
    <col min="6915" max="6918" width="8.5703125" style="163" customWidth="1"/>
    <col min="6919" max="6925" width="10.85546875" style="163" customWidth="1"/>
    <col min="6926" max="7168" width="9.140625" style="163"/>
    <col min="7169" max="7169" width="34.28515625" style="163" customWidth="1"/>
    <col min="7170" max="7170" width="25.7109375" style="163" customWidth="1"/>
    <col min="7171" max="7174" width="8.5703125" style="163" customWidth="1"/>
    <col min="7175" max="7181" width="10.85546875" style="163" customWidth="1"/>
    <col min="7182" max="7424" width="9.140625" style="163"/>
    <col min="7425" max="7425" width="34.28515625" style="163" customWidth="1"/>
    <col min="7426" max="7426" width="25.7109375" style="163" customWidth="1"/>
    <col min="7427" max="7430" width="8.5703125" style="163" customWidth="1"/>
    <col min="7431" max="7437" width="10.85546875" style="163" customWidth="1"/>
    <col min="7438" max="7680" width="9.140625" style="163"/>
    <col min="7681" max="7681" width="34.28515625" style="163" customWidth="1"/>
    <col min="7682" max="7682" width="25.7109375" style="163" customWidth="1"/>
    <col min="7683" max="7686" width="8.5703125" style="163" customWidth="1"/>
    <col min="7687" max="7693" width="10.85546875" style="163" customWidth="1"/>
    <col min="7694" max="7936" width="9.140625" style="163"/>
    <col min="7937" max="7937" width="34.28515625" style="163" customWidth="1"/>
    <col min="7938" max="7938" width="25.7109375" style="163" customWidth="1"/>
    <col min="7939" max="7942" width="8.5703125" style="163" customWidth="1"/>
    <col min="7943" max="7949" width="10.85546875" style="163" customWidth="1"/>
    <col min="7950" max="8192" width="9.140625" style="163"/>
    <col min="8193" max="8193" width="34.28515625" style="163" customWidth="1"/>
    <col min="8194" max="8194" width="25.7109375" style="163" customWidth="1"/>
    <col min="8195" max="8198" width="8.5703125" style="163" customWidth="1"/>
    <col min="8199" max="8205" width="10.85546875" style="163" customWidth="1"/>
    <col min="8206" max="8448" width="9.140625" style="163"/>
    <col min="8449" max="8449" width="34.28515625" style="163" customWidth="1"/>
    <col min="8450" max="8450" width="25.7109375" style="163" customWidth="1"/>
    <col min="8451" max="8454" width="8.5703125" style="163" customWidth="1"/>
    <col min="8455" max="8461" width="10.85546875" style="163" customWidth="1"/>
    <col min="8462" max="8704" width="9.140625" style="163"/>
    <col min="8705" max="8705" width="34.28515625" style="163" customWidth="1"/>
    <col min="8706" max="8706" width="25.7109375" style="163" customWidth="1"/>
    <col min="8707" max="8710" width="8.5703125" style="163" customWidth="1"/>
    <col min="8711" max="8717" width="10.85546875" style="163" customWidth="1"/>
    <col min="8718" max="8960" width="9.140625" style="163"/>
    <col min="8961" max="8961" width="34.28515625" style="163" customWidth="1"/>
    <col min="8962" max="8962" width="25.7109375" style="163" customWidth="1"/>
    <col min="8963" max="8966" width="8.5703125" style="163" customWidth="1"/>
    <col min="8967" max="8973" width="10.85546875" style="163" customWidth="1"/>
    <col min="8974" max="9216" width="9.140625" style="163"/>
    <col min="9217" max="9217" width="34.28515625" style="163" customWidth="1"/>
    <col min="9218" max="9218" width="25.7109375" style="163" customWidth="1"/>
    <col min="9219" max="9222" width="8.5703125" style="163" customWidth="1"/>
    <col min="9223" max="9229" width="10.85546875" style="163" customWidth="1"/>
    <col min="9230" max="9472" width="9.140625" style="163"/>
    <col min="9473" max="9473" width="34.28515625" style="163" customWidth="1"/>
    <col min="9474" max="9474" width="25.7109375" style="163" customWidth="1"/>
    <col min="9475" max="9478" width="8.5703125" style="163" customWidth="1"/>
    <col min="9479" max="9485" width="10.85546875" style="163" customWidth="1"/>
    <col min="9486" max="9728" width="9.140625" style="163"/>
    <col min="9729" max="9729" width="34.28515625" style="163" customWidth="1"/>
    <col min="9730" max="9730" width="25.7109375" style="163" customWidth="1"/>
    <col min="9731" max="9734" width="8.5703125" style="163" customWidth="1"/>
    <col min="9735" max="9741" width="10.85546875" style="163" customWidth="1"/>
    <col min="9742" max="9984" width="9.140625" style="163"/>
    <col min="9985" max="9985" width="34.28515625" style="163" customWidth="1"/>
    <col min="9986" max="9986" width="25.7109375" style="163" customWidth="1"/>
    <col min="9987" max="9990" width="8.5703125" style="163" customWidth="1"/>
    <col min="9991" max="9997" width="10.85546875" style="163" customWidth="1"/>
    <col min="9998" max="10240" width="9.140625" style="163"/>
    <col min="10241" max="10241" width="34.28515625" style="163" customWidth="1"/>
    <col min="10242" max="10242" width="25.7109375" style="163" customWidth="1"/>
    <col min="10243" max="10246" width="8.5703125" style="163" customWidth="1"/>
    <col min="10247" max="10253" width="10.85546875" style="163" customWidth="1"/>
    <col min="10254" max="10496" width="9.140625" style="163"/>
    <col min="10497" max="10497" width="34.28515625" style="163" customWidth="1"/>
    <col min="10498" max="10498" width="25.7109375" style="163" customWidth="1"/>
    <col min="10499" max="10502" width="8.5703125" style="163" customWidth="1"/>
    <col min="10503" max="10509" width="10.85546875" style="163" customWidth="1"/>
    <col min="10510" max="10752" width="9.140625" style="163"/>
    <col min="10753" max="10753" width="34.28515625" style="163" customWidth="1"/>
    <col min="10754" max="10754" width="25.7109375" style="163" customWidth="1"/>
    <col min="10755" max="10758" width="8.5703125" style="163" customWidth="1"/>
    <col min="10759" max="10765" width="10.85546875" style="163" customWidth="1"/>
    <col min="10766" max="11008" width="9.140625" style="163"/>
    <col min="11009" max="11009" width="34.28515625" style="163" customWidth="1"/>
    <col min="11010" max="11010" width="25.7109375" style="163" customWidth="1"/>
    <col min="11011" max="11014" width="8.5703125" style="163" customWidth="1"/>
    <col min="11015" max="11021" width="10.85546875" style="163" customWidth="1"/>
    <col min="11022" max="11264" width="9.140625" style="163"/>
    <col min="11265" max="11265" width="34.28515625" style="163" customWidth="1"/>
    <col min="11266" max="11266" width="25.7109375" style="163" customWidth="1"/>
    <col min="11267" max="11270" width="8.5703125" style="163" customWidth="1"/>
    <col min="11271" max="11277" width="10.85546875" style="163" customWidth="1"/>
    <col min="11278" max="11520" width="9.140625" style="163"/>
    <col min="11521" max="11521" width="34.28515625" style="163" customWidth="1"/>
    <col min="11522" max="11522" width="25.7109375" style="163" customWidth="1"/>
    <col min="11523" max="11526" width="8.5703125" style="163" customWidth="1"/>
    <col min="11527" max="11533" width="10.85546875" style="163" customWidth="1"/>
    <col min="11534" max="11776" width="9.140625" style="163"/>
    <col min="11777" max="11777" width="34.28515625" style="163" customWidth="1"/>
    <col min="11778" max="11778" width="25.7109375" style="163" customWidth="1"/>
    <col min="11779" max="11782" width="8.5703125" style="163" customWidth="1"/>
    <col min="11783" max="11789" width="10.85546875" style="163" customWidth="1"/>
    <col min="11790" max="12032" width="9.140625" style="163"/>
    <col min="12033" max="12033" width="34.28515625" style="163" customWidth="1"/>
    <col min="12034" max="12034" width="25.7109375" style="163" customWidth="1"/>
    <col min="12035" max="12038" width="8.5703125" style="163" customWidth="1"/>
    <col min="12039" max="12045" width="10.85546875" style="163" customWidth="1"/>
    <col min="12046" max="12288" width="9.140625" style="163"/>
    <col min="12289" max="12289" width="34.28515625" style="163" customWidth="1"/>
    <col min="12290" max="12290" width="25.7109375" style="163" customWidth="1"/>
    <col min="12291" max="12294" width="8.5703125" style="163" customWidth="1"/>
    <col min="12295" max="12301" width="10.85546875" style="163" customWidth="1"/>
    <col min="12302" max="12544" width="9.140625" style="163"/>
    <col min="12545" max="12545" width="34.28515625" style="163" customWidth="1"/>
    <col min="12546" max="12546" width="25.7109375" style="163" customWidth="1"/>
    <col min="12547" max="12550" width="8.5703125" style="163" customWidth="1"/>
    <col min="12551" max="12557" width="10.85546875" style="163" customWidth="1"/>
    <col min="12558" max="12800" width="9.140625" style="163"/>
    <col min="12801" max="12801" width="34.28515625" style="163" customWidth="1"/>
    <col min="12802" max="12802" width="25.7109375" style="163" customWidth="1"/>
    <col min="12803" max="12806" width="8.5703125" style="163" customWidth="1"/>
    <col min="12807" max="12813" width="10.85546875" style="163" customWidth="1"/>
    <col min="12814" max="13056" width="9.140625" style="163"/>
    <col min="13057" max="13057" width="34.28515625" style="163" customWidth="1"/>
    <col min="13058" max="13058" width="25.7109375" style="163" customWidth="1"/>
    <col min="13059" max="13062" width="8.5703125" style="163" customWidth="1"/>
    <col min="13063" max="13069" width="10.85546875" style="163" customWidth="1"/>
    <col min="13070" max="13312" width="9.140625" style="163"/>
    <col min="13313" max="13313" width="34.28515625" style="163" customWidth="1"/>
    <col min="13314" max="13314" width="25.7109375" style="163" customWidth="1"/>
    <col min="13315" max="13318" width="8.5703125" style="163" customWidth="1"/>
    <col min="13319" max="13325" width="10.85546875" style="163" customWidth="1"/>
    <col min="13326" max="13568" width="9.140625" style="163"/>
    <col min="13569" max="13569" width="34.28515625" style="163" customWidth="1"/>
    <col min="13570" max="13570" width="25.7109375" style="163" customWidth="1"/>
    <col min="13571" max="13574" width="8.5703125" style="163" customWidth="1"/>
    <col min="13575" max="13581" width="10.85546875" style="163" customWidth="1"/>
    <col min="13582" max="13824" width="9.140625" style="163"/>
    <col min="13825" max="13825" width="34.28515625" style="163" customWidth="1"/>
    <col min="13826" max="13826" width="25.7109375" style="163" customWidth="1"/>
    <col min="13827" max="13830" width="8.5703125" style="163" customWidth="1"/>
    <col min="13831" max="13837" width="10.85546875" style="163" customWidth="1"/>
    <col min="13838" max="14080" width="9.140625" style="163"/>
    <col min="14081" max="14081" width="34.28515625" style="163" customWidth="1"/>
    <col min="14082" max="14082" width="25.7109375" style="163" customWidth="1"/>
    <col min="14083" max="14086" width="8.5703125" style="163" customWidth="1"/>
    <col min="14087" max="14093" width="10.85546875" style="163" customWidth="1"/>
    <col min="14094" max="14336" width="9.140625" style="163"/>
    <col min="14337" max="14337" width="34.28515625" style="163" customWidth="1"/>
    <col min="14338" max="14338" width="25.7109375" style="163" customWidth="1"/>
    <col min="14339" max="14342" width="8.5703125" style="163" customWidth="1"/>
    <col min="14343" max="14349" width="10.85546875" style="163" customWidth="1"/>
    <col min="14350" max="14592" width="9.140625" style="163"/>
    <col min="14593" max="14593" width="34.28515625" style="163" customWidth="1"/>
    <col min="14594" max="14594" width="25.7109375" style="163" customWidth="1"/>
    <col min="14595" max="14598" width="8.5703125" style="163" customWidth="1"/>
    <col min="14599" max="14605" width="10.85546875" style="163" customWidth="1"/>
    <col min="14606" max="14848" width="9.140625" style="163"/>
    <col min="14849" max="14849" width="34.28515625" style="163" customWidth="1"/>
    <col min="14850" max="14850" width="25.7109375" style="163" customWidth="1"/>
    <col min="14851" max="14854" width="8.5703125" style="163" customWidth="1"/>
    <col min="14855" max="14861" width="10.85546875" style="163" customWidth="1"/>
    <col min="14862" max="15104" width="9.140625" style="163"/>
    <col min="15105" max="15105" width="34.28515625" style="163" customWidth="1"/>
    <col min="15106" max="15106" width="25.7109375" style="163" customWidth="1"/>
    <col min="15107" max="15110" width="8.5703125" style="163" customWidth="1"/>
    <col min="15111" max="15117" width="10.85546875" style="163" customWidth="1"/>
    <col min="15118" max="15360" width="9.140625" style="163"/>
    <col min="15361" max="15361" width="34.28515625" style="163" customWidth="1"/>
    <col min="15362" max="15362" width="25.7109375" style="163" customWidth="1"/>
    <col min="15363" max="15366" width="8.5703125" style="163" customWidth="1"/>
    <col min="15367" max="15373" width="10.85546875" style="163" customWidth="1"/>
    <col min="15374" max="15616" width="9.140625" style="163"/>
    <col min="15617" max="15617" width="34.28515625" style="163" customWidth="1"/>
    <col min="15618" max="15618" width="25.7109375" style="163" customWidth="1"/>
    <col min="15619" max="15622" width="8.5703125" style="163" customWidth="1"/>
    <col min="15623" max="15629" width="10.85546875" style="163" customWidth="1"/>
    <col min="15630" max="15872" width="9.140625" style="163"/>
    <col min="15873" max="15873" width="34.28515625" style="163" customWidth="1"/>
    <col min="15874" max="15874" width="25.7109375" style="163" customWidth="1"/>
    <col min="15875" max="15878" width="8.5703125" style="163" customWidth="1"/>
    <col min="15879" max="15885" width="10.85546875" style="163" customWidth="1"/>
    <col min="15886" max="16128" width="9.140625" style="163"/>
    <col min="16129" max="16129" width="34.28515625" style="163" customWidth="1"/>
    <col min="16130" max="16130" width="25.7109375" style="163" customWidth="1"/>
    <col min="16131" max="16134" width="8.5703125" style="163" customWidth="1"/>
    <col min="16135" max="16141" width="10.85546875" style="163" customWidth="1"/>
    <col min="16142" max="16384" width="9.140625" style="163"/>
  </cols>
  <sheetData>
    <row r="1" spans="1:67" s="160" customFormat="1" x14ac:dyDescent="0.25">
      <c r="H1" s="175"/>
    </row>
    <row r="2" spans="1:67" s="160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</row>
    <row r="3" spans="1:67" s="160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</row>
    <row r="4" spans="1:67" s="160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7"/>
      <c r="M4" s="7"/>
    </row>
    <row r="5" spans="1:67" s="8" customFormat="1" ht="18" customHeight="1" thickBot="1" x14ac:dyDescent="0.3">
      <c r="B5" s="9"/>
      <c r="I5" s="10"/>
      <c r="J5" s="10"/>
      <c r="K5" s="10"/>
      <c r="L5" s="11"/>
      <c r="M5" s="11"/>
    </row>
    <row r="6" spans="1:67" s="13" customFormat="1" ht="32.1" customHeight="1" thickBot="1" x14ac:dyDescent="0.3">
      <c r="A6" s="159"/>
      <c r="B6" s="162" t="s">
        <v>938</v>
      </c>
      <c r="C6" s="162"/>
      <c r="D6" s="162"/>
      <c r="E6" s="162"/>
      <c r="F6" s="162"/>
      <c r="G6" s="162"/>
      <c r="H6" s="176"/>
      <c r="I6" s="162"/>
      <c r="J6" s="162"/>
      <c r="K6" s="164"/>
      <c r="L6" s="66"/>
      <c r="M6" s="100" t="s">
        <v>0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</row>
    <row r="7" spans="1:67" s="13" customFormat="1" ht="6.75" customHeight="1" thickBot="1" x14ac:dyDescent="0.3">
      <c r="A7" s="58"/>
      <c r="B7" s="101"/>
      <c r="C7" s="69"/>
      <c r="D7" s="69"/>
      <c r="E7" s="69"/>
      <c r="F7" s="69"/>
      <c r="G7" s="69"/>
      <c r="H7" s="69"/>
      <c r="I7" s="69"/>
      <c r="J7" s="69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</row>
    <row r="8" spans="1:67" s="17" customFormat="1" ht="18" customHeight="1" x14ac:dyDescent="0.25">
      <c r="A8" s="59"/>
      <c r="B8" s="341" t="s">
        <v>1</v>
      </c>
      <c r="C8" s="337" t="s">
        <v>2</v>
      </c>
      <c r="D8" s="338"/>
      <c r="E8" s="337" t="s">
        <v>3</v>
      </c>
      <c r="F8" s="338"/>
      <c r="G8" s="161" t="s">
        <v>4</v>
      </c>
      <c r="H8" s="389" t="s">
        <v>5</v>
      </c>
      <c r="I8" s="390"/>
      <c r="J8" s="325" t="s">
        <v>6</v>
      </c>
      <c r="K8" s="328" t="s">
        <v>7</v>
      </c>
      <c r="L8" s="312" t="s">
        <v>8</v>
      </c>
      <c r="M8" s="16" t="s">
        <v>9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</row>
    <row r="9" spans="1:67" s="14" customFormat="1" ht="18" customHeight="1" x14ac:dyDescent="0.25">
      <c r="A9" s="159" t="s">
        <v>700</v>
      </c>
      <c r="B9" s="342"/>
      <c r="C9" s="339"/>
      <c r="D9" s="340"/>
      <c r="E9" s="339" t="s">
        <v>10</v>
      </c>
      <c r="F9" s="340" t="s">
        <v>11</v>
      </c>
      <c r="G9" s="21"/>
      <c r="H9" s="344" t="s">
        <v>43</v>
      </c>
      <c r="I9" s="349"/>
      <c r="J9" s="326"/>
      <c r="K9" s="329"/>
      <c r="L9" s="313"/>
      <c r="M9" s="22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</row>
    <row r="10" spans="1:67" s="17" customFormat="1" ht="18" customHeight="1" thickBot="1" x14ac:dyDescent="0.3">
      <c r="A10" s="47"/>
      <c r="B10" s="343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202" t="s">
        <v>717</v>
      </c>
      <c r="I10" s="187" t="s">
        <v>18</v>
      </c>
      <c r="J10" s="327"/>
      <c r="K10" s="26" t="s">
        <v>19</v>
      </c>
      <c r="L10" s="27" t="s">
        <v>20</v>
      </c>
      <c r="M10" s="28" t="s">
        <v>21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</row>
    <row r="11" spans="1:67" s="17" customFormat="1" ht="18" customHeight="1" thickBot="1" x14ac:dyDescent="0.3">
      <c r="A11" s="60"/>
      <c r="B11" s="39" t="s">
        <v>635</v>
      </c>
      <c r="C11" s="30">
        <v>3</v>
      </c>
      <c r="D11" s="31">
        <v>4</v>
      </c>
      <c r="E11" s="30">
        <v>45</v>
      </c>
      <c r="F11" s="31">
        <v>12.6</v>
      </c>
      <c r="G11" s="32" t="s">
        <v>109</v>
      </c>
      <c r="H11" s="260"/>
      <c r="I11" s="41">
        <v>823.28117422461128</v>
      </c>
      <c r="J11" s="30" t="s">
        <v>24</v>
      </c>
      <c r="K11" s="34">
        <v>1450</v>
      </c>
      <c r="L11" s="35">
        <v>71</v>
      </c>
      <c r="M11" s="36">
        <v>0.13568000000000002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</row>
    <row r="12" spans="1:67" s="17" customFormat="1" ht="18" customHeight="1" thickBot="1" x14ac:dyDescent="0.3">
      <c r="A12" s="61"/>
      <c r="B12" s="39" t="s">
        <v>636</v>
      </c>
      <c r="C12" s="30">
        <v>4</v>
      </c>
      <c r="D12" s="31">
        <v>5.5</v>
      </c>
      <c r="E12" s="30">
        <v>45</v>
      </c>
      <c r="F12" s="31">
        <v>16.899999999999999</v>
      </c>
      <c r="G12" s="32" t="s">
        <v>109</v>
      </c>
      <c r="H12" s="260"/>
      <c r="I12" s="41">
        <v>900.27869411612176</v>
      </c>
      <c r="J12" s="30" t="s">
        <v>24</v>
      </c>
      <c r="K12" s="34">
        <v>1450</v>
      </c>
      <c r="L12" s="35">
        <v>87</v>
      </c>
      <c r="M12" s="36">
        <v>0.13568000000000002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</row>
    <row r="13" spans="1:67" s="17" customFormat="1" ht="18" customHeight="1" thickBot="1" x14ac:dyDescent="0.3">
      <c r="A13" s="47"/>
      <c r="B13" s="39" t="s">
        <v>637</v>
      </c>
      <c r="C13" s="30">
        <v>5.5</v>
      </c>
      <c r="D13" s="31">
        <v>7.5</v>
      </c>
      <c r="E13" s="30">
        <v>50</v>
      </c>
      <c r="F13" s="31">
        <v>19.2</v>
      </c>
      <c r="G13" s="32" t="s">
        <v>109</v>
      </c>
      <c r="H13" s="260"/>
      <c r="I13" s="41">
        <v>1140.6231792835488</v>
      </c>
      <c r="J13" s="30" t="s">
        <v>24</v>
      </c>
      <c r="K13" s="34">
        <v>1450</v>
      </c>
      <c r="L13" s="35">
        <v>98</v>
      </c>
      <c r="M13" s="36">
        <v>0.14204000000000003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</row>
    <row r="14" spans="1:67" s="17" customFormat="1" ht="18" customHeight="1" thickBot="1" x14ac:dyDescent="0.3">
      <c r="A14" s="47"/>
      <c r="B14" s="39" t="s">
        <v>638</v>
      </c>
      <c r="C14" s="30">
        <v>4</v>
      </c>
      <c r="D14" s="31">
        <v>5.5</v>
      </c>
      <c r="E14" s="30">
        <v>42</v>
      </c>
      <c r="F14" s="31">
        <v>16.7</v>
      </c>
      <c r="G14" s="32" t="s">
        <v>109</v>
      </c>
      <c r="H14" s="260"/>
      <c r="I14" s="41">
        <v>926.46408549623038</v>
      </c>
      <c r="J14" s="30" t="s">
        <v>24</v>
      </c>
      <c r="K14" s="34">
        <v>1450</v>
      </c>
      <c r="L14" s="35">
        <v>101</v>
      </c>
      <c r="M14" s="36">
        <v>0.19523799999999999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</row>
    <row r="15" spans="1:67" s="17" customFormat="1" ht="18" customHeight="1" thickBot="1" x14ac:dyDescent="0.3">
      <c r="A15" s="47"/>
      <c r="B15" s="39" t="s">
        <v>639</v>
      </c>
      <c r="C15" s="30">
        <v>5.5</v>
      </c>
      <c r="D15" s="31">
        <v>7.5</v>
      </c>
      <c r="E15" s="30">
        <v>45</v>
      </c>
      <c r="F15" s="31">
        <v>20.2</v>
      </c>
      <c r="G15" s="32" t="s">
        <v>109</v>
      </c>
      <c r="H15" s="260"/>
      <c r="I15" s="41">
        <v>1165.5616472646047</v>
      </c>
      <c r="J15" s="30" t="s">
        <v>24</v>
      </c>
      <c r="K15" s="34">
        <v>1450</v>
      </c>
      <c r="L15" s="35">
        <v>112</v>
      </c>
      <c r="M15" s="36">
        <v>0.20980799999999999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</row>
    <row r="16" spans="1:67" s="17" customFormat="1" ht="18" customHeight="1" thickBot="1" x14ac:dyDescent="0.3">
      <c r="A16" s="47"/>
      <c r="B16" s="39" t="s">
        <v>640</v>
      </c>
      <c r="C16" s="30">
        <v>7.5</v>
      </c>
      <c r="D16" s="31">
        <v>10</v>
      </c>
      <c r="E16" s="30">
        <v>50</v>
      </c>
      <c r="F16" s="31">
        <v>24.3</v>
      </c>
      <c r="G16" s="32" t="s">
        <v>109</v>
      </c>
      <c r="H16" s="260"/>
      <c r="I16" s="41">
        <v>1398.7363228874788</v>
      </c>
      <c r="J16" s="30" t="s">
        <v>24</v>
      </c>
      <c r="K16" s="34">
        <v>1450</v>
      </c>
      <c r="L16" s="34">
        <v>130</v>
      </c>
      <c r="M16" s="37">
        <v>0.20980799999999999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</row>
    <row r="17" spans="1:67" s="17" customFormat="1" ht="18" customHeight="1" thickBot="1" x14ac:dyDescent="0.3">
      <c r="B17" s="39" t="s">
        <v>641</v>
      </c>
      <c r="C17" s="30">
        <v>11</v>
      </c>
      <c r="D17" s="31">
        <v>15</v>
      </c>
      <c r="E17" s="30">
        <v>72</v>
      </c>
      <c r="F17" s="31">
        <v>30.2</v>
      </c>
      <c r="G17" s="32" t="s">
        <v>109</v>
      </c>
      <c r="H17" s="260"/>
      <c r="I17" s="41">
        <v>1735.7173714814976</v>
      </c>
      <c r="J17" s="30" t="s">
        <v>24</v>
      </c>
      <c r="K17" s="34">
        <v>1450</v>
      </c>
      <c r="L17" s="34">
        <v>163</v>
      </c>
      <c r="M17" s="37">
        <v>0.25934600000000002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</row>
    <row r="18" spans="1:67" s="17" customFormat="1" ht="18" customHeight="1" thickBot="1" x14ac:dyDescent="0.3">
      <c r="A18" s="47"/>
      <c r="B18" s="39" t="s">
        <v>642</v>
      </c>
      <c r="C18" s="30">
        <v>15</v>
      </c>
      <c r="D18" s="31">
        <v>20</v>
      </c>
      <c r="E18" s="30">
        <v>72</v>
      </c>
      <c r="F18" s="31">
        <v>35.4</v>
      </c>
      <c r="G18" s="32" t="s">
        <v>109</v>
      </c>
      <c r="H18" s="260"/>
      <c r="I18" s="41">
        <v>2045.8895669958815</v>
      </c>
      <c r="J18" s="30" t="s">
        <v>24</v>
      </c>
      <c r="K18" s="34">
        <v>1450</v>
      </c>
      <c r="L18" s="34">
        <v>185</v>
      </c>
      <c r="M18" s="37">
        <v>0.25934600000000002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</row>
    <row r="19" spans="1:67" s="17" customFormat="1" ht="18" customHeight="1" thickBot="1" x14ac:dyDescent="0.3">
      <c r="A19" s="47"/>
      <c r="B19" s="39" t="s">
        <v>643</v>
      </c>
      <c r="C19" s="30">
        <v>3</v>
      </c>
      <c r="D19" s="31">
        <v>4</v>
      </c>
      <c r="E19" s="30">
        <v>60</v>
      </c>
      <c r="F19" s="31">
        <v>10.1</v>
      </c>
      <c r="G19" s="32" t="s">
        <v>126</v>
      </c>
      <c r="H19" s="260"/>
      <c r="I19" s="41">
        <v>828.26886782082227</v>
      </c>
      <c r="J19" s="30" t="s">
        <v>24</v>
      </c>
      <c r="K19" s="34">
        <v>1450</v>
      </c>
      <c r="L19" s="34">
        <v>68</v>
      </c>
      <c r="M19" s="37">
        <v>0.14227200000000001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</row>
    <row r="20" spans="1:67" s="17" customFormat="1" ht="18" customHeight="1" thickBot="1" x14ac:dyDescent="0.3">
      <c r="A20" s="335"/>
      <c r="B20" s="39" t="s">
        <v>644</v>
      </c>
      <c r="C20" s="30">
        <v>4</v>
      </c>
      <c r="D20" s="31">
        <v>5.5</v>
      </c>
      <c r="E20" s="30">
        <v>72</v>
      </c>
      <c r="F20" s="31">
        <v>12.4</v>
      </c>
      <c r="G20" s="32" t="s">
        <v>126</v>
      </c>
      <c r="H20" s="260"/>
      <c r="I20" s="41">
        <v>904.95465686256966</v>
      </c>
      <c r="J20" s="30" t="s">
        <v>24</v>
      </c>
      <c r="K20" s="34">
        <v>1450</v>
      </c>
      <c r="L20" s="34">
        <v>84</v>
      </c>
      <c r="M20" s="37">
        <v>0.14227200000000001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</row>
    <row r="21" spans="1:67" s="17" customFormat="1" ht="18" customHeight="1" thickBot="1" x14ac:dyDescent="0.3">
      <c r="A21" s="336"/>
      <c r="B21" s="165" t="s">
        <v>645</v>
      </c>
      <c r="C21" s="30">
        <v>5.5</v>
      </c>
      <c r="D21" s="31">
        <v>7.5</v>
      </c>
      <c r="E21" s="30">
        <v>72</v>
      </c>
      <c r="F21" s="31">
        <v>17.2</v>
      </c>
      <c r="G21" s="32" t="s">
        <v>126</v>
      </c>
      <c r="H21" s="260"/>
      <c r="I21" s="41">
        <v>1331.4024593386273</v>
      </c>
      <c r="J21" s="30" t="s">
        <v>24</v>
      </c>
      <c r="K21" s="34">
        <v>1450</v>
      </c>
      <c r="L21" s="34">
        <v>102</v>
      </c>
      <c r="M21" s="37">
        <v>0.19162000000000001</v>
      </c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</row>
    <row r="22" spans="1:67" s="17" customFormat="1" ht="18" customHeight="1" thickBot="1" x14ac:dyDescent="0.3">
      <c r="A22" s="47"/>
      <c r="B22" s="165" t="s">
        <v>646</v>
      </c>
      <c r="C22" s="30">
        <v>7.5</v>
      </c>
      <c r="D22" s="31">
        <v>10</v>
      </c>
      <c r="E22" s="30">
        <v>72</v>
      </c>
      <c r="F22" s="31">
        <v>21.3</v>
      </c>
      <c r="G22" s="32" t="s">
        <v>126</v>
      </c>
      <c r="H22" s="260"/>
      <c r="I22" s="41">
        <v>1393.7486292912674</v>
      </c>
      <c r="J22" s="30" t="s">
        <v>24</v>
      </c>
      <c r="K22" s="34">
        <v>1450</v>
      </c>
      <c r="L22" s="34">
        <v>120</v>
      </c>
      <c r="M22" s="37">
        <v>0.19162000000000001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</row>
    <row r="23" spans="1:67" s="17" customFormat="1" ht="18" customHeight="1" thickBot="1" x14ac:dyDescent="0.3">
      <c r="A23" s="47"/>
      <c r="B23" s="165" t="s">
        <v>647</v>
      </c>
      <c r="C23" s="30">
        <v>11</v>
      </c>
      <c r="D23" s="31">
        <v>15</v>
      </c>
      <c r="E23" s="30">
        <v>84</v>
      </c>
      <c r="F23" s="31">
        <v>23.9</v>
      </c>
      <c r="G23" s="32" t="s">
        <v>126</v>
      </c>
      <c r="H23" s="260"/>
      <c r="I23" s="41">
        <v>1795.2579637862691</v>
      </c>
      <c r="J23" s="30" t="s">
        <v>24</v>
      </c>
      <c r="K23" s="34">
        <v>1450</v>
      </c>
      <c r="L23" s="34">
        <v>154</v>
      </c>
      <c r="M23" s="37">
        <v>0.24024000000000001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</row>
    <row r="24" spans="1:67" s="17" customFormat="1" ht="18" customHeight="1" thickBot="1" x14ac:dyDescent="0.3">
      <c r="A24" s="47"/>
      <c r="B24" s="165" t="s">
        <v>648</v>
      </c>
      <c r="C24" s="30">
        <v>5.5</v>
      </c>
      <c r="D24" s="31">
        <v>7.5</v>
      </c>
      <c r="E24" s="30">
        <v>72</v>
      </c>
      <c r="F24" s="31">
        <v>16.8</v>
      </c>
      <c r="G24" s="32" t="s">
        <v>126</v>
      </c>
      <c r="H24" s="260"/>
      <c r="I24" s="41">
        <v>1364.1341985637634</v>
      </c>
      <c r="J24" s="30" t="s">
        <v>24</v>
      </c>
      <c r="K24" s="34">
        <v>1450</v>
      </c>
      <c r="L24" s="34">
        <v>122</v>
      </c>
      <c r="M24" s="37">
        <v>0.23500799999999999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</row>
    <row r="25" spans="1:67" s="17" customFormat="1" ht="18" customHeight="1" thickBot="1" x14ac:dyDescent="0.3">
      <c r="A25" s="47"/>
      <c r="B25" s="39" t="s">
        <v>649</v>
      </c>
      <c r="C25" s="30">
        <v>7.5</v>
      </c>
      <c r="D25" s="31">
        <v>10</v>
      </c>
      <c r="E25" s="30">
        <v>72</v>
      </c>
      <c r="F25" s="31">
        <v>21.9</v>
      </c>
      <c r="G25" s="32" t="s">
        <v>126</v>
      </c>
      <c r="H25" s="260"/>
      <c r="I25" s="41">
        <v>1426.4803685164036</v>
      </c>
      <c r="J25" s="30" t="s">
        <v>24</v>
      </c>
      <c r="K25" s="34">
        <v>1450</v>
      </c>
      <c r="L25" s="34">
        <v>140</v>
      </c>
      <c r="M25" s="37">
        <v>0.23500799999999999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</row>
    <row r="26" spans="1:67" s="17" customFormat="1" ht="18" customHeight="1" thickBot="1" x14ac:dyDescent="0.3">
      <c r="A26" s="47"/>
      <c r="B26" s="39" t="s">
        <v>650</v>
      </c>
      <c r="C26" s="30">
        <v>11</v>
      </c>
      <c r="D26" s="31">
        <v>15</v>
      </c>
      <c r="E26" s="30">
        <v>84</v>
      </c>
      <c r="F26" s="31">
        <v>27</v>
      </c>
      <c r="G26" s="32" t="s">
        <v>126</v>
      </c>
      <c r="H26" s="260"/>
      <c r="I26" s="41">
        <v>1827.3662413118789</v>
      </c>
      <c r="J26" s="30" t="s">
        <v>24</v>
      </c>
      <c r="K26" s="34">
        <v>1450</v>
      </c>
      <c r="L26" s="34">
        <v>173</v>
      </c>
      <c r="M26" s="37">
        <v>0.29049599999999998</v>
      </c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</row>
    <row r="27" spans="1:67" s="17" customFormat="1" ht="18" customHeight="1" thickBot="1" x14ac:dyDescent="0.3">
      <c r="A27" s="47"/>
      <c r="B27" s="39" t="s">
        <v>651</v>
      </c>
      <c r="C27" s="30">
        <v>15</v>
      </c>
      <c r="D27" s="31">
        <v>20</v>
      </c>
      <c r="E27" s="30">
        <v>84</v>
      </c>
      <c r="F27" s="31">
        <v>33.6</v>
      </c>
      <c r="G27" s="32" t="s">
        <v>126</v>
      </c>
      <c r="H27" s="260"/>
      <c r="I27" s="41">
        <v>2253.502312938173</v>
      </c>
      <c r="J27" s="30" t="s">
        <v>24</v>
      </c>
      <c r="K27" s="34">
        <v>1450</v>
      </c>
      <c r="L27" s="34">
        <v>195</v>
      </c>
      <c r="M27" s="37">
        <v>0.29049599999999998</v>
      </c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</row>
    <row r="28" spans="1:67" s="17" customFormat="1" ht="18" customHeight="1" thickBot="1" x14ac:dyDescent="0.3">
      <c r="A28" s="47"/>
      <c r="B28" s="39" t="s">
        <v>652</v>
      </c>
      <c r="C28" s="30">
        <v>18.5</v>
      </c>
      <c r="D28" s="31">
        <v>25</v>
      </c>
      <c r="E28" s="30">
        <v>84</v>
      </c>
      <c r="F28" s="31">
        <v>37.299999999999997</v>
      </c>
      <c r="G28" s="32" t="s">
        <v>126</v>
      </c>
      <c r="H28" s="260"/>
      <c r="I28" s="41">
        <v>2486.6769885610465</v>
      </c>
      <c r="J28" s="30" t="s">
        <v>24</v>
      </c>
      <c r="K28" s="34">
        <v>1450</v>
      </c>
      <c r="L28" s="34">
        <v>251</v>
      </c>
      <c r="M28" s="37">
        <v>0.39757500000000001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</row>
    <row r="29" spans="1:67" s="17" customFormat="1" ht="18" customHeight="1" thickBot="1" x14ac:dyDescent="0.3">
      <c r="A29" s="47"/>
      <c r="B29" s="39" t="s">
        <v>653</v>
      </c>
      <c r="C29" s="30">
        <v>22</v>
      </c>
      <c r="D29" s="31">
        <v>30</v>
      </c>
      <c r="E29" s="30">
        <v>84</v>
      </c>
      <c r="F29" s="31">
        <v>42.6</v>
      </c>
      <c r="G29" s="32" t="s">
        <v>126</v>
      </c>
      <c r="H29" s="260"/>
      <c r="I29" s="41">
        <v>2755.0772502071618</v>
      </c>
      <c r="J29" s="30" t="s">
        <v>24</v>
      </c>
      <c r="K29" s="34">
        <v>1450</v>
      </c>
      <c r="L29" s="34">
        <v>271</v>
      </c>
      <c r="M29" s="37">
        <v>0.41467499999999996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</row>
    <row r="30" spans="1:67" s="17" customFormat="1" ht="18" customHeight="1" thickBot="1" x14ac:dyDescent="0.3">
      <c r="A30" s="47"/>
      <c r="B30" s="39" t="s">
        <v>654</v>
      </c>
      <c r="C30" s="30">
        <v>30</v>
      </c>
      <c r="D30" s="31">
        <v>40</v>
      </c>
      <c r="E30" s="30">
        <v>84</v>
      </c>
      <c r="F30" s="31">
        <v>53.3</v>
      </c>
      <c r="G30" s="32" t="s">
        <v>126</v>
      </c>
      <c r="H30" s="260"/>
      <c r="I30" s="41">
        <v>3240.4421832884636</v>
      </c>
      <c r="J30" s="30" t="s">
        <v>24</v>
      </c>
      <c r="K30" s="34">
        <v>1450</v>
      </c>
      <c r="L30" s="34">
        <v>334</v>
      </c>
      <c r="M30" s="37">
        <v>0.45314999999999994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</row>
    <row r="31" spans="1:67" s="17" customFormat="1" ht="18" customHeight="1" thickBot="1" x14ac:dyDescent="0.3">
      <c r="A31" s="47"/>
      <c r="B31" s="39" t="s">
        <v>655</v>
      </c>
      <c r="C31" s="30">
        <v>4</v>
      </c>
      <c r="D31" s="31">
        <v>5.5</v>
      </c>
      <c r="E31" s="30">
        <v>84</v>
      </c>
      <c r="F31" s="31">
        <v>10.5</v>
      </c>
      <c r="G31" s="32" t="s">
        <v>145</v>
      </c>
      <c r="H31" s="260"/>
      <c r="I31" s="41">
        <v>1080.147394429488</v>
      </c>
      <c r="J31" s="30" t="s">
        <v>24</v>
      </c>
      <c r="K31" s="34">
        <v>1450</v>
      </c>
      <c r="L31" s="34">
        <v>89</v>
      </c>
      <c r="M31" s="37">
        <v>0.19296000000000002</v>
      </c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</row>
    <row r="32" spans="1:67" s="17" customFormat="1" ht="18" customHeight="1" thickBot="1" x14ac:dyDescent="0.3">
      <c r="A32" s="47"/>
      <c r="B32" s="39" t="s">
        <v>656</v>
      </c>
      <c r="C32" s="30">
        <v>5.5</v>
      </c>
      <c r="D32" s="31">
        <v>7.5</v>
      </c>
      <c r="E32" s="30">
        <v>108</v>
      </c>
      <c r="F32" s="31">
        <v>11.5</v>
      </c>
      <c r="G32" s="32" t="s">
        <v>145</v>
      </c>
      <c r="H32" s="260"/>
      <c r="I32" s="41">
        <v>1315.8159168504674</v>
      </c>
      <c r="J32" s="30" t="s">
        <v>24</v>
      </c>
      <c r="K32" s="34">
        <v>1450</v>
      </c>
      <c r="L32" s="34">
        <v>100</v>
      </c>
      <c r="M32" s="37">
        <v>0.20736000000000002</v>
      </c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</row>
    <row r="33" spans="1:67" s="17" customFormat="1" ht="18" customHeight="1" thickBot="1" x14ac:dyDescent="0.3">
      <c r="A33" s="47"/>
      <c r="B33" s="39" t="s">
        <v>657</v>
      </c>
      <c r="C33" s="30">
        <v>7.5</v>
      </c>
      <c r="D33" s="31">
        <v>10</v>
      </c>
      <c r="E33" s="30">
        <v>108</v>
      </c>
      <c r="F33" s="31">
        <v>13</v>
      </c>
      <c r="G33" s="32" t="s">
        <v>145</v>
      </c>
      <c r="H33" s="260"/>
      <c r="I33" s="41">
        <v>1603.8552220316644</v>
      </c>
      <c r="J33" s="30" t="s">
        <v>24</v>
      </c>
      <c r="K33" s="34">
        <v>1450</v>
      </c>
      <c r="L33" s="34">
        <v>118</v>
      </c>
      <c r="M33" s="37">
        <v>0.20736000000000002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</row>
    <row r="34" spans="1:67" s="17" customFormat="1" ht="18" customHeight="1" thickBot="1" x14ac:dyDescent="0.3">
      <c r="A34" s="47"/>
      <c r="B34" s="39" t="s">
        <v>658</v>
      </c>
      <c r="C34" s="30">
        <v>5.5</v>
      </c>
      <c r="D34" s="31">
        <v>7.5</v>
      </c>
      <c r="E34" s="30">
        <v>84</v>
      </c>
      <c r="F34" s="31">
        <v>14.4</v>
      </c>
      <c r="G34" s="32" t="s">
        <v>145</v>
      </c>
      <c r="H34" s="260"/>
      <c r="I34" s="41">
        <v>1368.1866996106849</v>
      </c>
      <c r="J34" s="30" t="s">
        <v>24</v>
      </c>
      <c r="K34" s="34">
        <v>1450</v>
      </c>
      <c r="L34" s="34">
        <v>107</v>
      </c>
      <c r="M34" s="37">
        <v>0.23846399999999995</v>
      </c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</row>
    <row r="35" spans="1:67" s="17" customFormat="1" ht="18" customHeight="1" thickBot="1" x14ac:dyDescent="0.3">
      <c r="A35" s="47"/>
      <c r="B35" s="39" t="s">
        <v>659</v>
      </c>
      <c r="C35" s="30">
        <v>7.5</v>
      </c>
      <c r="D35" s="31">
        <v>10</v>
      </c>
      <c r="E35" s="30">
        <v>84</v>
      </c>
      <c r="F35" s="31">
        <v>18.3</v>
      </c>
      <c r="G35" s="32" t="s">
        <v>145</v>
      </c>
      <c r="H35" s="260"/>
      <c r="I35" s="41">
        <v>1757.8502618146847</v>
      </c>
      <c r="J35" s="30" t="s">
        <v>24</v>
      </c>
      <c r="K35" s="34">
        <v>1450</v>
      </c>
      <c r="L35" s="34">
        <v>125</v>
      </c>
      <c r="M35" s="37">
        <v>0.23846399999999995</v>
      </c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</row>
    <row r="36" spans="1:67" s="17" customFormat="1" ht="18" customHeight="1" thickBot="1" x14ac:dyDescent="0.3">
      <c r="A36" s="47"/>
      <c r="B36" s="39" t="s">
        <v>660</v>
      </c>
      <c r="C36" s="30">
        <v>11</v>
      </c>
      <c r="D36" s="31">
        <v>15</v>
      </c>
      <c r="E36" s="30">
        <v>108</v>
      </c>
      <c r="F36" s="31">
        <v>22.1</v>
      </c>
      <c r="G36" s="32" t="s">
        <v>145</v>
      </c>
      <c r="H36" s="260"/>
      <c r="I36" s="41">
        <v>1957.3580056631329</v>
      </c>
      <c r="J36" s="30" t="s">
        <v>24</v>
      </c>
      <c r="K36" s="34">
        <v>1450</v>
      </c>
      <c r="L36" s="34">
        <v>158</v>
      </c>
      <c r="M36" s="37">
        <v>0.29476799999999997</v>
      </c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</row>
    <row r="37" spans="1:67" s="17" customFormat="1" ht="18" customHeight="1" thickBot="1" x14ac:dyDescent="0.3">
      <c r="A37" s="47"/>
      <c r="B37" s="39" t="s">
        <v>661</v>
      </c>
      <c r="C37" s="30">
        <v>15</v>
      </c>
      <c r="D37" s="31">
        <v>20</v>
      </c>
      <c r="E37" s="30">
        <v>108</v>
      </c>
      <c r="F37" s="31">
        <v>25.6</v>
      </c>
      <c r="G37" s="32" t="s">
        <v>145</v>
      </c>
      <c r="H37" s="260"/>
      <c r="I37" s="41">
        <v>2104.8066976011264</v>
      </c>
      <c r="J37" s="30" t="s">
        <v>24</v>
      </c>
      <c r="K37" s="34">
        <v>1450</v>
      </c>
      <c r="L37" s="34">
        <v>180</v>
      </c>
      <c r="M37" s="37">
        <v>0.29476799999999997</v>
      </c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</row>
    <row r="38" spans="1:67" s="17" customFormat="1" ht="18" customHeight="1" thickBot="1" x14ac:dyDescent="0.3">
      <c r="A38" s="47"/>
      <c r="B38" s="39" t="s">
        <v>662</v>
      </c>
      <c r="C38" s="30">
        <v>15</v>
      </c>
      <c r="D38" s="31">
        <v>20</v>
      </c>
      <c r="E38" s="30">
        <v>108</v>
      </c>
      <c r="F38" s="31">
        <v>25.6</v>
      </c>
      <c r="G38" s="32" t="s">
        <v>145</v>
      </c>
      <c r="H38" s="260"/>
      <c r="I38" s="41">
        <v>2253.502312938173</v>
      </c>
      <c r="J38" s="30" t="s">
        <v>24</v>
      </c>
      <c r="K38" s="34">
        <v>1450</v>
      </c>
      <c r="L38" s="34">
        <v>194</v>
      </c>
      <c r="M38" s="37">
        <v>0.34720800000000002</v>
      </c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</row>
    <row r="39" spans="1:67" s="17" customFormat="1" ht="18" customHeight="1" thickBot="1" x14ac:dyDescent="0.3">
      <c r="A39" s="47"/>
      <c r="B39" s="39" t="s">
        <v>663</v>
      </c>
      <c r="C39" s="30">
        <v>18.5</v>
      </c>
      <c r="D39" s="31">
        <v>25</v>
      </c>
      <c r="E39" s="30">
        <v>108</v>
      </c>
      <c r="F39" s="31">
        <v>28.6</v>
      </c>
      <c r="G39" s="32" t="s">
        <v>145</v>
      </c>
      <c r="H39" s="260"/>
      <c r="I39" s="41">
        <v>2578.9493200909537</v>
      </c>
      <c r="J39" s="30" t="s">
        <v>24</v>
      </c>
      <c r="K39" s="34">
        <v>1450</v>
      </c>
      <c r="L39" s="34">
        <v>234</v>
      </c>
      <c r="M39" s="37">
        <v>0.36230399999999996</v>
      </c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</row>
    <row r="40" spans="1:67" s="17" customFormat="1" ht="18" customHeight="1" thickBot="1" x14ac:dyDescent="0.3">
      <c r="A40" s="47"/>
      <c r="B40" s="39" t="s">
        <v>664</v>
      </c>
      <c r="C40" s="30">
        <v>22</v>
      </c>
      <c r="D40" s="31">
        <v>30</v>
      </c>
      <c r="E40" s="30">
        <v>140</v>
      </c>
      <c r="F40" s="31">
        <v>30</v>
      </c>
      <c r="G40" s="32" t="s">
        <v>145</v>
      </c>
      <c r="H40" s="260"/>
      <c r="I40" s="41">
        <v>2782.1978341365607</v>
      </c>
      <c r="J40" s="30" t="s">
        <v>24</v>
      </c>
      <c r="K40" s="34">
        <v>1450</v>
      </c>
      <c r="L40" s="34">
        <v>254</v>
      </c>
      <c r="M40" s="37">
        <v>0.37740000000000001</v>
      </c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</row>
    <row r="41" spans="1:67" s="17" customFormat="1" ht="18" customHeight="1" thickBot="1" x14ac:dyDescent="0.3">
      <c r="A41" s="47"/>
      <c r="B41" s="39" t="s">
        <v>665</v>
      </c>
      <c r="C41" s="30">
        <v>30</v>
      </c>
      <c r="D41" s="31">
        <v>40</v>
      </c>
      <c r="E41" s="30">
        <v>140</v>
      </c>
      <c r="F41" s="31">
        <v>33.200000000000003</v>
      </c>
      <c r="G41" s="32" t="s">
        <v>145</v>
      </c>
      <c r="H41" s="260"/>
      <c r="I41" s="41">
        <v>3148.1698517585564</v>
      </c>
      <c r="J41" s="30" t="s">
        <v>24</v>
      </c>
      <c r="K41" s="34">
        <v>1450</v>
      </c>
      <c r="L41" s="34">
        <v>317</v>
      </c>
      <c r="M41" s="37">
        <v>0.41136600000000006</v>
      </c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</row>
    <row r="42" spans="1:67" s="17" customFormat="1" ht="18" customHeight="1" thickBot="1" x14ac:dyDescent="0.3">
      <c r="A42" s="47"/>
      <c r="B42" s="39" t="s">
        <v>666</v>
      </c>
      <c r="C42" s="30">
        <v>30</v>
      </c>
      <c r="D42" s="31">
        <v>40</v>
      </c>
      <c r="E42" s="30">
        <v>108</v>
      </c>
      <c r="F42" s="31">
        <v>44</v>
      </c>
      <c r="G42" s="32" t="s">
        <v>145</v>
      </c>
      <c r="H42" s="260"/>
      <c r="I42" s="41">
        <v>3246.3650694339658</v>
      </c>
      <c r="J42" s="30" t="s">
        <v>24</v>
      </c>
      <c r="K42" s="34">
        <v>1450</v>
      </c>
      <c r="L42" s="34">
        <v>348</v>
      </c>
      <c r="M42" s="37">
        <v>0.486794</v>
      </c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</row>
    <row r="43" spans="1:67" s="17" customFormat="1" ht="18" customHeight="1" thickBot="1" x14ac:dyDescent="0.3">
      <c r="A43" s="47"/>
      <c r="B43" s="39" t="s">
        <v>667</v>
      </c>
      <c r="C43" s="30">
        <v>37</v>
      </c>
      <c r="D43" s="31">
        <v>50</v>
      </c>
      <c r="E43" s="30">
        <v>108</v>
      </c>
      <c r="F43" s="31">
        <v>49.5</v>
      </c>
      <c r="G43" s="32" t="s">
        <v>145</v>
      </c>
      <c r="H43" s="260"/>
      <c r="I43" s="40" t="s">
        <v>28</v>
      </c>
      <c r="J43" s="30" t="s">
        <v>24</v>
      </c>
      <c r="K43" s="34">
        <v>1450</v>
      </c>
      <c r="L43" s="34">
        <v>391</v>
      </c>
      <c r="M43" s="37">
        <v>0.486794</v>
      </c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</row>
    <row r="44" spans="1:67" s="17" customFormat="1" ht="18" customHeight="1" thickBot="1" x14ac:dyDescent="0.3">
      <c r="A44" s="47"/>
      <c r="B44" s="39" t="s">
        <v>668</v>
      </c>
      <c r="C44" s="30">
        <v>45</v>
      </c>
      <c r="D44" s="31">
        <v>60</v>
      </c>
      <c r="E44" s="30">
        <v>140</v>
      </c>
      <c r="F44" s="31">
        <v>53</v>
      </c>
      <c r="G44" s="32" t="s">
        <v>145</v>
      </c>
      <c r="H44" s="260"/>
      <c r="I44" s="40" t="s">
        <v>28</v>
      </c>
      <c r="J44" s="30" t="s">
        <v>24</v>
      </c>
      <c r="K44" s="34">
        <v>1450</v>
      </c>
      <c r="L44" s="34">
        <v>418</v>
      </c>
      <c r="M44" s="37">
        <v>0.50465799999999994</v>
      </c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</row>
    <row r="45" spans="1:67" s="17" customFormat="1" ht="18" customHeight="1" thickBot="1" x14ac:dyDescent="0.3">
      <c r="A45" s="47"/>
      <c r="B45" s="39" t="s">
        <v>669</v>
      </c>
      <c r="C45" s="30">
        <v>5.5</v>
      </c>
      <c r="D45" s="31">
        <v>7.5</v>
      </c>
      <c r="E45" s="30">
        <v>140</v>
      </c>
      <c r="F45" s="31">
        <v>8.9</v>
      </c>
      <c r="G45" s="32" t="s">
        <v>162</v>
      </c>
      <c r="H45" s="260"/>
      <c r="I45" s="41">
        <v>1368.1866996106849</v>
      </c>
      <c r="J45" s="30" t="s">
        <v>24</v>
      </c>
      <c r="K45" s="34">
        <v>1450</v>
      </c>
      <c r="L45" s="34">
        <v>107</v>
      </c>
      <c r="M45" s="37">
        <v>0.22950000000000004</v>
      </c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</row>
    <row r="46" spans="1:67" s="17" customFormat="1" ht="18" customHeight="1" thickBot="1" x14ac:dyDescent="0.3">
      <c r="A46" s="47"/>
      <c r="B46" s="39" t="s">
        <v>670</v>
      </c>
      <c r="C46" s="30">
        <v>7.5</v>
      </c>
      <c r="D46" s="31">
        <v>10</v>
      </c>
      <c r="E46" s="30">
        <v>140</v>
      </c>
      <c r="F46" s="31">
        <v>11.9</v>
      </c>
      <c r="G46" s="32" t="s">
        <v>162</v>
      </c>
      <c r="H46" s="260"/>
      <c r="I46" s="41">
        <v>1757.8502618146847</v>
      </c>
      <c r="J46" s="30" t="s">
        <v>24</v>
      </c>
      <c r="K46" s="34">
        <v>1450</v>
      </c>
      <c r="L46" s="34">
        <v>125</v>
      </c>
      <c r="M46" s="37">
        <v>0.22950000000000004</v>
      </c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</row>
    <row r="47" spans="1:67" s="17" customFormat="1" ht="18" customHeight="1" thickBot="1" x14ac:dyDescent="0.3">
      <c r="A47" s="47"/>
      <c r="B47" s="39" t="s">
        <v>671</v>
      </c>
      <c r="C47" s="30">
        <v>11</v>
      </c>
      <c r="D47" s="31">
        <v>15</v>
      </c>
      <c r="E47" s="30">
        <v>150</v>
      </c>
      <c r="F47" s="31">
        <v>15.6</v>
      </c>
      <c r="G47" s="32" t="s">
        <v>162</v>
      </c>
      <c r="H47" s="260"/>
      <c r="I47" s="41">
        <v>1963.9043535081601</v>
      </c>
      <c r="J47" s="30" t="s">
        <v>24</v>
      </c>
      <c r="K47" s="34">
        <v>1450</v>
      </c>
      <c r="L47" s="34">
        <v>170</v>
      </c>
      <c r="M47" s="37">
        <v>0.28152000000000005</v>
      </c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</row>
    <row r="48" spans="1:67" s="17" customFormat="1" ht="18" customHeight="1" thickBot="1" x14ac:dyDescent="0.3">
      <c r="A48" s="47"/>
      <c r="B48" s="39" t="s">
        <v>672</v>
      </c>
      <c r="C48" s="30">
        <v>7.5</v>
      </c>
      <c r="D48" s="31">
        <v>10</v>
      </c>
      <c r="E48" s="30">
        <v>100</v>
      </c>
      <c r="F48" s="31">
        <v>14.8</v>
      </c>
      <c r="G48" s="32" t="s">
        <v>162</v>
      </c>
      <c r="H48" s="260"/>
      <c r="I48" s="41">
        <v>1800.2456573824802</v>
      </c>
      <c r="J48" s="30" t="s">
        <v>24</v>
      </c>
      <c r="K48" s="34">
        <v>1450</v>
      </c>
      <c r="L48" s="34">
        <v>137</v>
      </c>
      <c r="M48" s="37">
        <v>0.28620000000000001</v>
      </c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</row>
    <row r="49" spans="1:67" s="17" customFormat="1" ht="18" customHeight="1" thickBot="1" x14ac:dyDescent="0.3">
      <c r="A49" s="47"/>
      <c r="B49" s="39" t="s">
        <v>673</v>
      </c>
      <c r="C49" s="30">
        <v>11</v>
      </c>
      <c r="D49" s="31">
        <v>15</v>
      </c>
      <c r="E49" s="30">
        <v>150</v>
      </c>
      <c r="F49" s="31">
        <v>17.8</v>
      </c>
      <c r="G49" s="32" t="s">
        <v>162</v>
      </c>
      <c r="H49" s="260"/>
      <c r="I49" s="41">
        <v>2013.1578277707454</v>
      </c>
      <c r="J49" s="30" t="s">
        <v>24</v>
      </c>
      <c r="K49" s="34">
        <v>1450</v>
      </c>
      <c r="L49" s="34">
        <v>170</v>
      </c>
      <c r="M49" s="37">
        <v>0.351072</v>
      </c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</row>
    <row r="50" spans="1:67" s="17" customFormat="1" ht="18" customHeight="1" thickBot="1" x14ac:dyDescent="0.3">
      <c r="A50" s="47"/>
      <c r="B50" s="39" t="s">
        <v>674</v>
      </c>
      <c r="C50" s="30">
        <v>15</v>
      </c>
      <c r="D50" s="31">
        <v>20</v>
      </c>
      <c r="E50" s="30">
        <v>200</v>
      </c>
      <c r="F50" s="31">
        <v>19.8</v>
      </c>
      <c r="G50" s="32" t="s">
        <v>162</v>
      </c>
      <c r="H50" s="260"/>
      <c r="I50" s="41">
        <v>2216.0946109665892</v>
      </c>
      <c r="J50" s="30" t="s">
        <v>24</v>
      </c>
      <c r="K50" s="34">
        <v>1450</v>
      </c>
      <c r="L50" s="34">
        <v>192</v>
      </c>
      <c r="M50" s="37">
        <v>0.351072</v>
      </c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</row>
    <row r="51" spans="1:67" s="17" customFormat="1" ht="18" customHeight="1" thickBot="1" x14ac:dyDescent="0.3">
      <c r="A51" s="47"/>
      <c r="B51" s="39" t="s">
        <v>675</v>
      </c>
      <c r="C51" s="30">
        <v>18.5</v>
      </c>
      <c r="D51" s="31">
        <v>25</v>
      </c>
      <c r="E51" s="30">
        <v>200</v>
      </c>
      <c r="F51" s="31">
        <v>23</v>
      </c>
      <c r="G51" s="32" t="s">
        <v>162</v>
      </c>
      <c r="H51" s="260"/>
      <c r="I51" s="41">
        <v>2566.4800861004255</v>
      </c>
      <c r="J51" s="30" t="s">
        <v>24</v>
      </c>
      <c r="K51" s="34">
        <v>1450</v>
      </c>
      <c r="L51" s="34">
        <v>232</v>
      </c>
      <c r="M51" s="37">
        <v>0.36633599999999999</v>
      </c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</row>
    <row r="52" spans="1:67" s="17" customFormat="1" ht="18" customHeight="1" thickBot="1" x14ac:dyDescent="0.3">
      <c r="A52" s="47"/>
      <c r="B52" s="39" t="s">
        <v>676</v>
      </c>
      <c r="C52" s="30">
        <v>18.5</v>
      </c>
      <c r="D52" s="31">
        <v>25</v>
      </c>
      <c r="E52" s="30">
        <v>200</v>
      </c>
      <c r="F52" s="31">
        <v>23.3</v>
      </c>
      <c r="G52" s="32" t="s">
        <v>162</v>
      </c>
      <c r="H52" s="260"/>
      <c r="I52" s="41">
        <v>2688.0551175080732</v>
      </c>
      <c r="J52" s="30" t="s">
        <v>24</v>
      </c>
      <c r="K52" s="34">
        <v>1450</v>
      </c>
      <c r="L52" s="34">
        <v>252</v>
      </c>
      <c r="M52" s="37">
        <v>0.40320000000000006</v>
      </c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</row>
    <row r="53" spans="1:67" s="17" customFormat="1" ht="18" customHeight="1" thickBot="1" x14ac:dyDescent="0.3">
      <c r="A53" s="47"/>
      <c r="B53" s="39" t="s">
        <v>677</v>
      </c>
      <c r="C53" s="30">
        <v>22</v>
      </c>
      <c r="D53" s="31">
        <v>30</v>
      </c>
      <c r="E53" s="30">
        <v>200</v>
      </c>
      <c r="F53" s="31">
        <v>26.5</v>
      </c>
      <c r="G53" s="32" t="s">
        <v>162</v>
      </c>
      <c r="H53" s="260"/>
      <c r="I53" s="41">
        <v>2864.1830476242817</v>
      </c>
      <c r="J53" s="30" t="s">
        <v>24</v>
      </c>
      <c r="K53" s="34">
        <v>1450</v>
      </c>
      <c r="L53" s="34">
        <v>272</v>
      </c>
      <c r="M53" s="37">
        <v>0.42000000000000004</v>
      </c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</row>
    <row r="54" spans="1:67" s="17" customFormat="1" ht="18" customHeight="1" thickBot="1" x14ac:dyDescent="0.3">
      <c r="A54" s="47"/>
      <c r="B54" s="39" t="s">
        <v>678</v>
      </c>
      <c r="C54" s="30">
        <v>30</v>
      </c>
      <c r="D54" s="31">
        <v>40</v>
      </c>
      <c r="E54" s="30">
        <v>200</v>
      </c>
      <c r="F54" s="31">
        <v>32.9</v>
      </c>
      <c r="G54" s="32" t="s">
        <v>162</v>
      </c>
      <c r="H54" s="260"/>
      <c r="I54" s="41">
        <v>3205.2165972652228</v>
      </c>
      <c r="J54" s="30" t="s">
        <v>24</v>
      </c>
      <c r="K54" s="34">
        <v>1450</v>
      </c>
      <c r="L54" s="34">
        <v>335</v>
      </c>
      <c r="M54" s="37">
        <v>0.45780000000000004</v>
      </c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</row>
    <row r="55" spans="1:67" s="17" customFormat="1" ht="18" customHeight="1" thickBot="1" x14ac:dyDescent="0.3">
      <c r="A55" s="47"/>
      <c r="B55" s="39" t="s">
        <v>679</v>
      </c>
      <c r="C55" s="30">
        <v>37</v>
      </c>
      <c r="D55" s="31">
        <v>50</v>
      </c>
      <c r="E55" s="30">
        <v>250</v>
      </c>
      <c r="F55" s="31">
        <v>33.1</v>
      </c>
      <c r="G55" s="32" t="s">
        <v>162</v>
      </c>
      <c r="H55" s="260"/>
      <c r="I55" s="40" t="s">
        <v>28</v>
      </c>
      <c r="J55" s="30" t="s">
        <v>24</v>
      </c>
      <c r="K55" s="34">
        <v>1450</v>
      </c>
      <c r="L55" s="34">
        <v>378</v>
      </c>
      <c r="M55" s="37">
        <v>0.45780000000000004</v>
      </c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</row>
    <row r="56" spans="1:67" s="17" customFormat="1" ht="18" customHeight="1" thickBot="1" x14ac:dyDescent="0.3">
      <c r="A56" s="47"/>
      <c r="B56" s="39" t="s">
        <v>680</v>
      </c>
      <c r="C56" s="30">
        <v>11</v>
      </c>
      <c r="D56" s="31">
        <v>15</v>
      </c>
      <c r="E56" s="30">
        <v>250</v>
      </c>
      <c r="F56" s="31">
        <v>12.9</v>
      </c>
      <c r="G56" s="32" t="s">
        <v>178</v>
      </c>
      <c r="H56" s="260"/>
      <c r="I56" s="41">
        <v>2307.7434807969694</v>
      </c>
      <c r="J56" s="30" t="s">
        <v>24</v>
      </c>
      <c r="K56" s="34">
        <v>1450</v>
      </c>
      <c r="L56" s="34">
        <v>197</v>
      </c>
      <c r="M56" s="37">
        <v>0.35644799999999999</v>
      </c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</row>
    <row r="57" spans="1:67" s="17" customFormat="1" ht="18" customHeight="1" thickBot="1" x14ac:dyDescent="0.3">
      <c r="A57" s="47"/>
      <c r="B57" s="39" t="s">
        <v>681</v>
      </c>
      <c r="C57" s="30">
        <v>15</v>
      </c>
      <c r="D57" s="31">
        <v>20</v>
      </c>
      <c r="E57" s="30">
        <v>250</v>
      </c>
      <c r="F57" s="31">
        <v>14.3</v>
      </c>
      <c r="G57" s="32" t="s">
        <v>178</v>
      </c>
      <c r="H57" s="260"/>
      <c r="I57" s="41">
        <v>2553.0756595606085</v>
      </c>
      <c r="J57" s="30" t="s">
        <v>24</v>
      </c>
      <c r="K57" s="34">
        <v>1450</v>
      </c>
      <c r="L57" s="34">
        <v>219</v>
      </c>
      <c r="M57" s="37">
        <v>0.35644799999999999</v>
      </c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</row>
    <row r="58" spans="1:67" s="17" customFormat="1" ht="18" customHeight="1" thickBot="1" x14ac:dyDescent="0.3">
      <c r="A58" s="47"/>
      <c r="B58" s="39" t="s">
        <v>682</v>
      </c>
      <c r="C58" s="30">
        <v>18.5</v>
      </c>
      <c r="D58" s="31">
        <v>25</v>
      </c>
      <c r="E58" s="30">
        <v>300</v>
      </c>
      <c r="F58" s="31">
        <v>15.5</v>
      </c>
      <c r="G58" s="32" t="s">
        <v>178</v>
      </c>
      <c r="H58" s="260"/>
      <c r="I58" s="41">
        <v>2851.7138136337539</v>
      </c>
      <c r="J58" s="30" t="s">
        <v>24</v>
      </c>
      <c r="K58" s="34">
        <v>1450</v>
      </c>
      <c r="L58" s="34">
        <v>259</v>
      </c>
      <c r="M58" s="37">
        <v>0.37130000000000002</v>
      </c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</row>
    <row r="59" spans="1:67" s="17" customFormat="1" ht="18" customHeight="1" thickBot="1" x14ac:dyDescent="0.3">
      <c r="A59" s="47"/>
      <c r="B59" s="39" t="s">
        <v>683</v>
      </c>
      <c r="C59" s="30">
        <v>22</v>
      </c>
      <c r="D59" s="31">
        <v>30</v>
      </c>
      <c r="E59" s="30">
        <v>300</v>
      </c>
      <c r="F59" s="31">
        <v>17.5</v>
      </c>
      <c r="G59" s="32" t="s">
        <v>178</v>
      </c>
      <c r="H59" s="260"/>
      <c r="I59" s="41">
        <v>3027.841743749962</v>
      </c>
      <c r="J59" s="30" t="s">
        <v>24</v>
      </c>
      <c r="K59" s="34">
        <v>1450</v>
      </c>
      <c r="L59" s="34">
        <v>279</v>
      </c>
      <c r="M59" s="37">
        <v>0.38615200000000005</v>
      </c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</row>
    <row r="60" spans="1:67" s="17" customFormat="1" ht="18" customHeight="1" thickBot="1" x14ac:dyDescent="0.3">
      <c r="A60" s="47"/>
      <c r="B60" s="39" t="s">
        <v>684</v>
      </c>
      <c r="C60" s="30">
        <v>15</v>
      </c>
      <c r="D60" s="31">
        <v>20</v>
      </c>
      <c r="E60" s="30">
        <v>250</v>
      </c>
      <c r="F60" s="31">
        <v>14.7</v>
      </c>
      <c r="G60" s="32" t="s">
        <v>178</v>
      </c>
      <c r="H60" s="260"/>
      <c r="I60" s="41">
        <v>2553.0756595606085</v>
      </c>
      <c r="J60" s="30" t="s">
        <v>24</v>
      </c>
      <c r="K60" s="34">
        <v>1450</v>
      </c>
      <c r="L60" s="34">
        <v>226</v>
      </c>
      <c r="M60" s="37">
        <v>0.43027199999999993</v>
      </c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</row>
    <row r="61" spans="1:67" s="17" customFormat="1" ht="18" customHeight="1" thickBot="1" x14ac:dyDescent="0.3">
      <c r="A61" s="47"/>
      <c r="B61" s="39" t="s">
        <v>685</v>
      </c>
      <c r="C61" s="30">
        <v>18.5</v>
      </c>
      <c r="D61" s="31">
        <v>25</v>
      </c>
      <c r="E61" s="30">
        <v>300</v>
      </c>
      <c r="F61" s="31">
        <v>17.5</v>
      </c>
      <c r="G61" s="32" t="s">
        <v>178</v>
      </c>
      <c r="H61" s="260"/>
      <c r="I61" s="41">
        <v>2851.7138136337539</v>
      </c>
      <c r="J61" s="30" t="s">
        <v>24</v>
      </c>
      <c r="K61" s="34">
        <v>1450</v>
      </c>
      <c r="L61" s="34">
        <v>266</v>
      </c>
      <c r="M61" s="37">
        <v>0.44819999999999999</v>
      </c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</row>
    <row r="62" spans="1:67" s="17" customFormat="1" ht="18" customHeight="1" thickBot="1" x14ac:dyDescent="0.3">
      <c r="A62" s="47"/>
      <c r="B62" s="39" t="s">
        <v>686</v>
      </c>
      <c r="C62" s="30">
        <v>22</v>
      </c>
      <c r="D62" s="31">
        <v>30</v>
      </c>
      <c r="E62" s="30">
        <v>300</v>
      </c>
      <c r="F62" s="31">
        <v>20.8</v>
      </c>
      <c r="G62" s="32" t="s">
        <v>178</v>
      </c>
      <c r="H62" s="260"/>
      <c r="I62" s="41">
        <v>3060.5734829750977</v>
      </c>
      <c r="J62" s="30" t="s">
        <v>24</v>
      </c>
      <c r="K62" s="34">
        <v>1450</v>
      </c>
      <c r="L62" s="34">
        <v>286</v>
      </c>
      <c r="M62" s="37">
        <v>0.46612800000000004</v>
      </c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</row>
    <row r="63" spans="1:67" s="17" customFormat="1" ht="18" customHeight="1" thickBot="1" x14ac:dyDescent="0.3">
      <c r="A63" s="47"/>
      <c r="B63" s="39" t="s">
        <v>687</v>
      </c>
      <c r="C63" s="30">
        <v>30</v>
      </c>
      <c r="D63" s="31">
        <v>40</v>
      </c>
      <c r="E63" s="30">
        <v>300</v>
      </c>
      <c r="F63" s="31">
        <v>22</v>
      </c>
      <c r="G63" s="32" t="s">
        <v>178</v>
      </c>
      <c r="H63" s="260"/>
      <c r="I63" s="41">
        <v>3142.2469656130565</v>
      </c>
      <c r="J63" s="30" t="s">
        <v>24</v>
      </c>
      <c r="K63" s="34">
        <v>1450</v>
      </c>
      <c r="L63" s="34">
        <v>349</v>
      </c>
      <c r="M63" s="37">
        <v>0.50646599999999997</v>
      </c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</row>
    <row r="64" spans="1:67" s="17" customFormat="1" ht="18" customHeight="1" thickBot="1" x14ac:dyDescent="0.3">
      <c r="A64" s="47"/>
      <c r="B64" s="39" t="s">
        <v>688</v>
      </c>
      <c r="C64" s="30">
        <v>37</v>
      </c>
      <c r="D64" s="31">
        <v>50</v>
      </c>
      <c r="E64" s="30">
        <v>300</v>
      </c>
      <c r="F64" s="31">
        <v>30.4</v>
      </c>
      <c r="G64" s="32" t="s">
        <v>178</v>
      </c>
      <c r="H64" s="260"/>
      <c r="I64" s="40" t="s">
        <v>28</v>
      </c>
      <c r="J64" s="30" t="s">
        <v>24</v>
      </c>
      <c r="K64" s="34">
        <v>1450</v>
      </c>
      <c r="L64" s="34">
        <v>395</v>
      </c>
      <c r="M64" s="37">
        <v>0.55708999999999986</v>
      </c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</row>
    <row r="65" spans="1:67" s="17" customFormat="1" ht="18" customHeight="1" thickBot="1" x14ac:dyDescent="0.3">
      <c r="A65" s="47"/>
      <c r="B65" s="39" t="s">
        <v>689</v>
      </c>
      <c r="C65" s="30">
        <v>45</v>
      </c>
      <c r="D65" s="31">
        <v>60</v>
      </c>
      <c r="E65" s="30">
        <v>300</v>
      </c>
      <c r="F65" s="31">
        <v>34.700000000000003</v>
      </c>
      <c r="G65" s="32" t="s">
        <v>178</v>
      </c>
      <c r="H65" s="260"/>
      <c r="I65" s="40" t="s">
        <v>28</v>
      </c>
      <c r="J65" s="30" t="s">
        <v>24</v>
      </c>
      <c r="K65" s="34">
        <v>1450</v>
      </c>
      <c r="L65" s="34">
        <v>422</v>
      </c>
      <c r="M65" s="37">
        <v>0.57680999999999982</v>
      </c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</row>
    <row r="66" spans="1:67" s="17" customFormat="1" ht="18" customHeight="1" thickBot="1" x14ac:dyDescent="0.3">
      <c r="A66" s="47"/>
      <c r="B66" s="39" t="s">
        <v>690</v>
      </c>
      <c r="C66" s="30">
        <v>55</v>
      </c>
      <c r="D66" s="31">
        <v>75</v>
      </c>
      <c r="E66" s="30">
        <v>300</v>
      </c>
      <c r="F66" s="31">
        <v>37.200000000000003</v>
      </c>
      <c r="G66" s="32" t="s">
        <v>178</v>
      </c>
      <c r="H66" s="260"/>
      <c r="I66" s="40" t="s">
        <v>28</v>
      </c>
      <c r="J66" s="30" t="s">
        <v>24</v>
      </c>
      <c r="K66" s="34">
        <v>1450</v>
      </c>
      <c r="L66" s="34">
        <v>511</v>
      </c>
      <c r="M66" s="37">
        <v>0.62117999999999995</v>
      </c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</row>
    <row r="67" spans="1:67" s="17" customFormat="1" ht="18" customHeight="1" thickBot="1" x14ac:dyDescent="0.3">
      <c r="A67" s="47"/>
      <c r="B67" s="39" t="s">
        <v>691</v>
      </c>
      <c r="C67" s="30">
        <v>75</v>
      </c>
      <c r="D67" s="31">
        <v>100</v>
      </c>
      <c r="E67" s="30">
        <v>400</v>
      </c>
      <c r="F67" s="31">
        <v>40.9</v>
      </c>
      <c r="G67" s="32" t="s">
        <v>178</v>
      </c>
      <c r="H67" s="260"/>
      <c r="I67" s="40" t="s">
        <v>28</v>
      </c>
      <c r="J67" s="30" t="s">
        <v>24</v>
      </c>
      <c r="K67" s="34">
        <v>1450</v>
      </c>
      <c r="L67" s="34">
        <v>639</v>
      </c>
      <c r="M67" s="37">
        <v>0.65569</v>
      </c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</row>
    <row r="68" spans="1:67" s="17" customFormat="1" ht="18" customHeight="1" thickBot="1" x14ac:dyDescent="0.3">
      <c r="A68" s="62"/>
      <c r="B68" s="39" t="s">
        <v>692</v>
      </c>
      <c r="C68" s="30">
        <v>55</v>
      </c>
      <c r="D68" s="31">
        <v>75</v>
      </c>
      <c r="E68" s="30">
        <v>300</v>
      </c>
      <c r="F68" s="31">
        <v>42</v>
      </c>
      <c r="G68" s="32" t="s">
        <v>178</v>
      </c>
      <c r="H68" s="260"/>
      <c r="I68" s="40" t="s">
        <v>28</v>
      </c>
      <c r="J68" s="30" t="s">
        <v>24</v>
      </c>
      <c r="K68" s="34">
        <v>1450</v>
      </c>
      <c r="L68" s="34">
        <v>532</v>
      </c>
      <c r="M68" s="37">
        <v>0.72072000000000003</v>
      </c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</row>
    <row r="69" spans="1:67" s="17" customFormat="1" ht="18" customHeight="1" thickBot="1" x14ac:dyDescent="0.3">
      <c r="A69" s="47"/>
      <c r="B69" s="39" t="s">
        <v>693</v>
      </c>
      <c r="C69" s="30">
        <v>75</v>
      </c>
      <c r="D69" s="31">
        <v>100</v>
      </c>
      <c r="E69" s="30">
        <v>400</v>
      </c>
      <c r="F69" s="31">
        <v>47</v>
      </c>
      <c r="G69" s="32" t="s">
        <v>178</v>
      </c>
      <c r="H69" s="260"/>
      <c r="I69" s="40" t="s">
        <v>28</v>
      </c>
      <c r="J69" s="30" t="s">
        <v>24</v>
      </c>
      <c r="K69" s="34">
        <v>1450</v>
      </c>
      <c r="L69" s="34">
        <v>660</v>
      </c>
      <c r="M69" s="37">
        <v>0.76075999999999999</v>
      </c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</row>
    <row r="70" spans="1:67" s="17" customFormat="1" ht="18" customHeight="1" thickBot="1" x14ac:dyDescent="0.3">
      <c r="A70" s="47"/>
      <c r="B70" s="39" t="s">
        <v>694</v>
      </c>
      <c r="C70" s="30">
        <v>90</v>
      </c>
      <c r="D70" s="31">
        <v>125</v>
      </c>
      <c r="E70" s="30">
        <v>400</v>
      </c>
      <c r="F70" s="31">
        <v>52</v>
      </c>
      <c r="G70" s="32" t="s">
        <v>178</v>
      </c>
      <c r="H70" s="260"/>
      <c r="I70" s="40" t="s">
        <v>28</v>
      </c>
      <c r="J70" s="30" t="s">
        <v>24</v>
      </c>
      <c r="K70" s="34">
        <v>1450</v>
      </c>
      <c r="L70" s="34">
        <v>752</v>
      </c>
      <c r="M70" s="37">
        <v>0.78935999999999995</v>
      </c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</row>
    <row r="71" spans="1:67" s="17" customFormat="1" ht="18" customHeight="1" thickBot="1" x14ac:dyDescent="0.3">
      <c r="A71" s="47"/>
      <c r="B71" s="39" t="s">
        <v>695</v>
      </c>
      <c r="C71" s="30">
        <v>110</v>
      </c>
      <c r="D71" s="31">
        <v>150</v>
      </c>
      <c r="E71" s="30">
        <v>400</v>
      </c>
      <c r="F71" s="31">
        <v>58</v>
      </c>
      <c r="G71" s="32" t="s">
        <v>178</v>
      </c>
      <c r="H71" s="260"/>
      <c r="I71" s="40" t="s">
        <v>28</v>
      </c>
      <c r="J71" s="30" t="s">
        <v>24</v>
      </c>
      <c r="K71" s="34">
        <v>1450</v>
      </c>
      <c r="L71" s="34">
        <v>1053</v>
      </c>
      <c r="M71" s="37">
        <v>0.88088000000000011</v>
      </c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</row>
    <row r="72" spans="1:67" s="17" customFormat="1" ht="18" customHeight="1" thickBot="1" x14ac:dyDescent="0.3">
      <c r="A72" s="47"/>
      <c r="B72" s="39" t="s">
        <v>696</v>
      </c>
      <c r="C72" s="30">
        <v>132</v>
      </c>
      <c r="D72" s="31">
        <v>180</v>
      </c>
      <c r="E72" s="30">
        <v>400</v>
      </c>
      <c r="F72" s="31">
        <v>64.5</v>
      </c>
      <c r="G72" s="32" t="s">
        <v>178</v>
      </c>
      <c r="H72" s="260"/>
      <c r="I72" s="40" t="s">
        <v>28</v>
      </c>
      <c r="J72" s="30" t="s">
        <v>24</v>
      </c>
      <c r="K72" s="34">
        <v>1450</v>
      </c>
      <c r="L72" s="34">
        <v>1147</v>
      </c>
      <c r="M72" s="37">
        <v>0.94379999999999997</v>
      </c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</row>
    <row r="73" spans="1:67" s="160" customFormat="1" ht="8.25" customHeight="1" thickBot="1" x14ac:dyDescent="0.3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67" s="160" customFormat="1" ht="15" customHeight="1" x14ac:dyDescent="0.25">
      <c r="B74" s="180" t="s">
        <v>32</v>
      </c>
      <c r="C74" s="45" t="s">
        <v>33</v>
      </c>
      <c r="D74" s="45"/>
      <c r="E74" s="46"/>
      <c r="F74" s="46"/>
      <c r="G74" s="46"/>
      <c r="H74" s="46"/>
      <c r="I74" s="46"/>
      <c r="J74" s="46"/>
      <c r="K74" s="46"/>
      <c r="L74" s="46"/>
      <c r="M74" s="46"/>
      <c r="N74" s="47"/>
    </row>
    <row r="75" spans="1:67" s="160" customFormat="1" ht="15" customHeight="1" x14ac:dyDescent="0.25">
      <c r="B75" s="181" t="s">
        <v>308</v>
      </c>
      <c r="C75" s="50" t="s">
        <v>701</v>
      </c>
      <c r="D75" s="50"/>
      <c r="E75" s="51"/>
      <c r="F75" s="51"/>
      <c r="G75" s="51"/>
      <c r="H75" s="51"/>
      <c r="I75" s="51"/>
      <c r="J75" s="51"/>
      <c r="K75" s="51"/>
      <c r="L75" s="51"/>
      <c r="M75" s="51"/>
    </row>
    <row r="76" spans="1:67" s="167" customFormat="1" ht="15" customHeight="1" x14ac:dyDescent="0.25">
      <c r="B76" s="181" t="s">
        <v>702</v>
      </c>
      <c r="C76" s="50" t="s">
        <v>703</v>
      </c>
      <c r="D76" s="53"/>
      <c r="E76" s="54"/>
      <c r="F76" s="54"/>
      <c r="G76" s="54"/>
      <c r="H76" s="54"/>
      <c r="I76" s="54"/>
      <c r="J76" s="54"/>
      <c r="K76" s="54"/>
      <c r="L76" s="54"/>
      <c r="M76" s="54"/>
    </row>
    <row r="77" spans="1:67" s="160" customFormat="1" ht="15" customHeight="1" x14ac:dyDescent="0.25">
      <c r="B77" s="181" t="s">
        <v>36</v>
      </c>
      <c r="C77" s="53" t="s">
        <v>37</v>
      </c>
      <c r="D77" s="53"/>
      <c r="E77" s="54"/>
      <c r="F77" s="54"/>
      <c r="G77" s="54"/>
      <c r="H77" s="54"/>
      <c r="I77" s="54"/>
      <c r="J77" s="54"/>
      <c r="K77" s="54"/>
      <c r="L77" s="54"/>
      <c r="M77" s="54"/>
    </row>
    <row r="78" spans="1:67" s="167" customFormat="1" ht="15" customHeight="1" x14ac:dyDescent="0.25">
      <c r="B78" s="181" t="s">
        <v>704</v>
      </c>
      <c r="C78" s="280" t="s">
        <v>705</v>
      </c>
      <c r="D78" s="206"/>
      <c r="E78" s="207"/>
      <c r="F78" s="207"/>
      <c r="G78" s="207"/>
      <c r="H78" s="207"/>
      <c r="I78" s="207"/>
      <c r="J78" s="207"/>
      <c r="K78" s="207"/>
      <c r="L78" s="207"/>
      <c r="M78" s="207"/>
    </row>
    <row r="79" spans="1:67" s="160" customFormat="1" x14ac:dyDescent="0.25">
      <c r="B79" s="64"/>
      <c r="H79" s="175"/>
    </row>
    <row r="80" spans="1:67" s="160" customFormat="1" x14ac:dyDescent="0.25">
      <c r="B80" s="64"/>
      <c r="H80" s="175"/>
    </row>
    <row r="81" spans="1:8" s="160" customFormat="1" x14ac:dyDescent="0.25">
      <c r="B81" s="64"/>
      <c r="H81" s="175"/>
    </row>
    <row r="82" spans="1:8" s="160" customFormat="1" x14ac:dyDescent="0.25">
      <c r="B82" s="64"/>
      <c r="H82" s="175"/>
    </row>
    <row r="83" spans="1:8" s="160" customFormat="1" x14ac:dyDescent="0.25">
      <c r="B83" s="64"/>
      <c r="H83" s="175"/>
    </row>
    <row r="84" spans="1:8" s="160" customFormat="1" x14ac:dyDescent="0.25">
      <c r="B84" s="64"/>
      <c r="H84" s="175"/>
    </row>
    <row r="85" spans="1:8" s="160" customFormat="1" x14ac:dyDescent="0.25">
      <c r="A85" s="271"/>
      <c r="B85" s="64"/>
      <c r="H85" s="175"/>
    </row>
    <row r="86" spans="1:8" s="160" customFormat="1" x14ac:dyDescent="0.25">
      <c r="A86" s="271"/>
      <c r="B86" s="64"/>
      <c r="H86" s="175"/>
    </row>
    <row r="87" spans="1:8" s="160" customFormat="1" x14ac:dyDescent="0.25">
      <c r="B87" s="64"/>
      <c r="H87" s="175"/>
    </row>
    <row r="88" spans="1:8" s="160" customFormat="1" x14ac:dyDescent="0.25">
      <c r="B88" s="64"/>
      <c r="H88" s="175"/>
    </row>
    <row r="89" spans="1:8" s="160" customFormat="1" x14ac:dyDescent="0.25">
      <c r="B89" s="64"/>
      <c r="H89" s="175"/>
    </row>
    <row r="90" spans="1:8" s="160" customFormat="1" x14ac:dyDescent="0.25">
      <c r="B90" s="64"/>
      <c r="H90" s="175"/>
    </row>
    <row r="91" spans="1:8" s="160" customFormat="1" x14ac:dyDescent="0.25">
      <c r="B91" s="64"/>
      <c r="H91" s="175"/>
    </row>
    <row r="92" spans="1:8" s="160" customFormat="1" x14ac:dyDescent="0.25">
      <c r="B92" s="64"/>
      <c r="H92" s="175"/>
    </row>
    <row r="93" spans="1:8" s="160" customFormat="1" x14ac:dyDescent="0.25">
      <c r="B93" s="64"/>
      <c r="H93" s="175"/>
    </row>
    <row r="94" spans="1:8" s="160" customFormat="1" x14ac:dyDescent="0.25">
      <c r="B94" s="64"/>
      <c r="H94" s="175"/>
    </row>
    <row r="95" spans="1:8" s="160" customFormat="1" x14ac:dyDescent="0.25">
      <c r="B95" s="64"/>
      <c r="H95" s="175"/>
    </row>
    <row r="96" spans="1:8" s="160" customFormat="1" x14ac:dyDescent="0.25">
      <c r="B96" s="64"/>
      <c r="H96" s="175"/>
    </row>
    <row r="97" spans="2:8" s="160" customFormat="1" x14ac:dyDescent="0.25">
      <c r="B97" s="64"/>
      <c r="H97" s="175"/>
    </row>
    <row r="98" spans="2:8" s="160" customFormat="1" x14ac:dyDescent="0.25">
      <c r="B98" s="64"/>
      <c r="H98" s="175"/>
    </row>
    <row r="99" spans="2:8" s="160" customFormat="1" x14ac:dyDescent="0.25">
      <c r="B99" s="64"/>
      <c r="H99" s="175"/>
    </row>
    <row r="100" spans="2:8" s="160" customFormat="1" x14ac:dyDescent="0.25">
      <c r="B100" s="64"/>
      <c r="H100" s="175"/>
    </row>
    <row r="101" spans="2:8" s="160" customFormat="1" x14ac:dyDescent="0.25">
      <c r="B101" s="64"/>
      <c r="H101" s="175"/>
    </row>
    <row r="102" spans="2:8" s="160" customFormat="1" x14ac:dyDescent="0.25">
      <c r="B102" s="64"/>
      <c r="H102" s="175"/>
    </row>
    <row r="103" spans="2:8" s="160" customFormat="1" x14ac:dyDescent="0.25">
      <c r="B103" s="64"/>
      <c r="H103" s="175"/>
    </row>
    <row r="104" spans="2:8" s="160" customFormat="1" x14ac:dyDescent="0.25">
      <c r="B104" s="64"/>
      <c r="H104" s="175"/>
    </row>
    <row r="105" spans="2:8" s="160" customFormat="1" x14ac:dyDescent="0.25">
      <c r="B105" s="64"/>
      <c r="H105" s="175"/>
    </row>
    <row r="106" spans="2:8" s="160" customFormat="1" x14ac:dyDescent="0.25">
      <c r="B106" s="64"/>
      <c r="H106" s="175"/>
    </row>
    <row r="107" spans="2:8" s="160" customFormat="1" x14ac:dyDescent="0.25">
      <c r="B107" s="64"/>
      <c r="H107" s="175"/>
    </row>
    <row r="108" spans="2:8" s="160" customFormat="1" x14ac:dyDescent="0.25">
      <c r="B108" s="64"/>
      <c r="H108" s="175"/>
    </row>
    <row r="109" spans="2:8" s="160" customFormat="1" x14ac:dyDescent="0.25">
      <c r="B109" s="64"/>
      <c r="H109" s="175"/>
    </row>
    <row r="110" spans="2:8" s="160" customFormat="1" x14ac:dyDescent="0.25">
      <c r="B110" s="64"/>
      <c r="H110" s="175"/>
    </row>
    <row r="111" spans="2:8" s="160" customFormat="1" x14ac:dyDescent="0.25">
      <c r="B111" s="64"/>
      <c r="H111" s="175"/>
    </row>
    <row r="112" spans="2:8" s="160" customFormat="1" x14ac:dyDescent="0.25">
      <c r="B112" s="64"/>
      <c r="H112" s="175"/>
    </row>
    <row r="113" spans="2:8" s="160" customFormat="1" x14ac:dyDescent="0.25">
      <c r="B113" s="64"/>
      <c r="H113" s="175"/>
    </row>
    <row r="114" spans="2:8" s="160" customFormat="1" x14ac:dyDescent="0.25">
      <c r="B114" s="64"/>
      <c r="H114" s="175"/>
    </row>
    <row r="115" spans="2:8" s="160" customFormat="1" x14ac:dyDescent="0.25">
      <c r="B115" s="64"/>
      <c r="H115" s="175"/>
    </row>
    <row r="116" spans="2:8" s="160" customFormat="1" x14ac:dyDescent="0.25">
      <c r="B116" s="64"/>
      <c r="H116" s="175"/>
    </row>
    <row r="117" spans="2:8" s="160" customFormat="1" x14ac:dyDescent="0.25">
      <c r="B117" s="64"/>
      <c r="H117" s="175"/>
    </row>
    <row r="118" spans="2:8" s="160" customFormat="1" x14ac:dyDescent="0.25">
      <c r="B118" s="64"/>
      <c r="H118" s="175"/>
    </row>
    <row r="119" spans="2:8" s="160" customFormat="1" x14ac:dyDescent="0.25">
      <c r="B119" s="64"/>
      <c r="H119" s="175"/>
    </row>
    <row r="120" spans="2:8" s="160" customFormat="1" x14ac:dyDescent="0.25">
      <c r="B120" s="64"/>
      <c r="H120" s="175"/>
    </row>
    <row r="121" spans="2:8" s="160" customFormat="1" x14ac:dyDescent="0.25">
      <c r="B121" s="64"/>
      <c r="H121" s="175"/>
    </row>
    <row r="122" spans="2:8" s="160" customFormat="1" x14ac:dyDescent="0.25">
      <c r="B122" s="64"/>
      <c r="H122" s="175"/>
    </row>
    <row r="123" spans="2:8" s="160" customFormat="1" x14ac:dyDescent="0.25">
      <c r="B123" s="64"/>
      <c r="H123" s="175"/>
    </row>
    <row r="124" spans="2:8" s="160" customFormat="1" x14ac:dyDescent="0.25">
      <c r="B124" s="64"/>
      <c r="H124" s="175"/>
    </row>
    <row r="125" spans="2:8" s="160" customFormat="1" x14ac:dyDescent="0.25">
      <c r="B125" s="64"/>
      <c r="H125" s="175"/>
    </row>
    <row r="126" spans="2:8" s="160" customFormat="1" x14ac:dyDescent="0.25">
      <c r="B126" s="64"/>
      <c r="H126" s="175"/>
    </row>
    <row r="127" spans="2:8" s="160" customFormat="1" x14ac:dyDescent="0.25">
      <c r="B127" s="64"/>
      <c r="H127" s="175"/>
    </row>
    <row r="128" spans="2:8" s="160" customFormat="1" x14ac:dyDescent="0.25">
      <c r="B128" s="64"/>
      <c r="H128" s="175"/>
    </row>
    <row r="129" spans="2:8" s="160" customFormat="1" x14ac:dyDescent="0.25">
      <c r="B129" s="64"/>
      <c r="H129" s="175"/>
    </row>
    <row r="130" spans="2:8" s="160" customFormat="1" x14ac:dyDescent="0.25">
      <c r="B130" s="64"/>
      <c r="H130" s="175"/>
    </row>
    <row r="131" spans="2:8" s="160" customFormat="1" x14ac:dyDescent="0.25">
      <c r="B131" s="64"/>
      <c r="H131" s="175"/>
    </row>
    <row r="132" spans="2:8" s="160" customFormat="1" x14ac:dyDescent="0.25">
      <c r="B132" s="64"/>
      <c r="H132" s="175"/>
    </row>
    <row r="133" spans="2:8" s="160" customFormat="1" x14ac:dyDescent="0.25">
      <c r="B133" s="64"/>
      <c r="H133" s="175"/>
    </row>
    <row r="134" spans="2:8" s="160" customFormat="1" x14ac:dyDescent="0.25">
      <c r="B134" s="64"/>
      <c r="H134" s="175"/>
    </row>
    <row r="135" spans="2:8" s="160" customFormat="1" x14ac:dyDescent="0.25">
      <c r="B135" s="64"/>
      <c r="H135" s="175"/>
    </row>
    <row r="136" spans="2:8" s="160" customFormat="1" x14ac:dyDescent="0.25">
      <c r="B136" s="64"/>
      <c r="H136" s="175"/>
    </row>
    <row r="137" spans="2:8" s="160" customFormat="1" x14ac:dyDescent="0.25">
      <c r="B137" s="64"/>
      <c r="H137" s="175"/>
    </row>
    <row r="138" spans="2:8" s="160" customFormat="1" x14ac:dyDescent="0.25">
      <c r="B138" s="64"/>
      <c r="H138" s="175"/>
    </row>
    <row r="139" spans="2:8" s="160" customFormat="1" x14ac:dyDescent="0.25">
      <c r="B139" s="64"/>
      <c r="H139" s="175"/>
    </row>
    <row r="140" spans="2:8" s="160" customFormat="1" x14ac:dyDescent="0.25">
      <c r="B140" s="64"/>
      <c r="H140" s="175"/>
    </row>
    <row r="141" spans="2:8" s="160" customFormat="1" x14ac:dyDescent="0.25">
      <c r="B141" s="64"/>
      <c r="H141" s="175"/>
    </row>
    <row r="142" spans="2:8" s="160" customFormat="1" x14ac:dyDescent="0.25">
      <c r="B142" s="64"/>
      <c r="H142" s="175"/>
    </row>
    <row r="143" spans="2:8" s="160" customFormat="1" x14ac:dyDescent="0.25">
      <c r="B143" s="64"/>
      <c r="H143" s="175"/>
    </row>
    <row r="144" spans="2:8" s="160" customFormat="1" x14ac:dyDescent="0.25">
      <c r="B144" s="64"/>
      <c r="H144" s="175"/>
    </row>
    <row r="145" spans="2:8" s="160" customFormat="1" x14ac:dyDescent="0.25">
      <c r="B145" s="64"/>
      <c r="H145" s="175"/>
    </row>
    <row r="146" spans="2:8" s="160" customFormat="1" x14ac:dyDescent="0.25">
      <c r="B146" s="64"/>
      <c r="H146" s="175"/>
    </row>
    <row r="147" spans="2:8" s="160" customFormat="1" x14ac:dyDescent="0.25">
      <c r="B147" s="64"/>
      <c r="H147" s="175"/>
    </row>
    <row r="148" spans="2:8" s="160" customFormat="1" x14ac:dyDescent="0.25">
      <c r="B148" s="64"/>
      <c r="H148" s="175"/>
    </row>
    <row r="149" spans="2:8" s="160" customFormat="1" x14ac:dyDescent="0.25">
      <c r="B149" s="64"/>
      <c r="H149" s="175"/>
    </row>
    <row r="150" spans="2:8" s="160" customFormat="1" x14ac:dyDescent="0.25">
      <c r="B150" s="64"/>
      <c r="H150" s="175"/>
    </row>
    <row r="151" spans="2:8" s="160" customFormat="1" x14ac:dyDescent="0.25">
      <c r="B151" s="64"/>
      <c r="H151" s="175"/>
    </row>
    <row r="152" spans="2:8" s="160" customFormat="1" x14ac:dyDescent="0.25">
      <c r="B152" s="64"/>
      <c r="H152" s="175"/>
    </row>
    <row r="153" spans="2:8" s="160" customFormat="1" x14ac:dyDescent="0.25">
      <c r="B153" s="64"/>
      <c r="H153" s="175"/>
    </row>
    <row r="154" spans="2:8" s="160" customFormat="1" x14ac:dyDescent="0.25">
      <c r="B154" s="64"/>
      <c r="H154" s="175"/>
    </row>
    <row r="155" spans="2:8" s="160" customFormat="1" x14ac:dyDescent="0.25">
      <c r="B155" s="64"/>
      <c r="H155" s="175"/>
    </row>
    <row r="156" spans="2:8" s="160" customFormat="1" x14ac:dyDescent="0.25">
      <c r="B156" s="64"/>
      <c r="H156" s="175"/>
    </row>
    <row r="157" spans="2:8" s="160" customFormat="1" x14ac:dyDescent="0.25">
      <c r="B157" s="64"/>
      <c r="H157" s="175"/>
    </row>
    <row r="158" spans="2:8" s="160" customFormat="1" x14ac:dyDescent="0.25">
      <c r="B158" s="64"/>
      <c r="H158" s="175"/>
    </row>
    <row r="159" spans="2:8" s="160" customFormat="1" x14ac:dyDescent="0.25">
      <c r="B159" s="64"/>
      <c r="H159" s="175"/>
    </row>
    <row r="160" spans="2:8" s="160" customFormat="1" x14ac:dyDescent="0.25">
      <c r="B160" s="64"/>
      <c r="H160" s="175"/>
    </row>
    <row r="161" spans="2:8" s="160" customFormat="1" x14ac:dyDescent="0.25">
      <c r="B161" s="64"/>
      <c r="H161" s="175"/>
    </row>
    <row r="162" spans="2:8" s="160" customFormat="1" x14ac:dyDescent="0.25">
      <c r="B162" s="64"/>
      <c r="H162" s="175"/>
    </row>
    <row r="163" spans="2:8" s="160" customFormat="1" x14ac:dyDescent="0.25">
      <c r="B163" s="64"/>
      <c r="H163" s="175"/>
    </row>
    <row r="164" spans="2:8" s="160" customFormat="1" x14ac:dyDescent="0.25">
      <c r="B164" s="64"/>
      <c r="H164" s="175"/>
    </row>
    <row r="165" spans="2:8" s="160" customFormat="1" x14ac:dyDescent="0.25">
      <c r="B165" s="64"/>
      <c r="H165" s="175"/>
    </row>
    <row r="166" spans="2:8" s="160" customFormat="1" x14ac:dyDescent="0.25">
      <c r="B166" s="64"/>
      <c r="H166" s="175"/>
    </row>
    <row r="167" spans="2:8" s="160" customFormat="1" x14ac:dyDescent="0.25">
      <c r="B167" s="64"/>
      <c r="H167" s="175"/>
    </row>
    <row r="168" spans="2:8" s="160" customFormat="1" x14ac:dyDescent="0.25">
      <c r="B168" s="64"/>
      <c r="H168" s="175"/>
    </row>
    <row r="169" spans="2:8" s="160" customFormat="1" x14ac:dyDescent="0.25">
      <c r="B169" s="64"/>
      <c r="H169" s="175"/>
    </row>
    <row r="170" spans="2:8" s="160" customFormat="1" x14ac:dyDescent="0.25">
      <c r="B170" s="64"/>
      <c r="H170" s="175"/>
    </row>
    <row r="171" spans="2:8" s="160" customFormat="1" x14ac:dyDescent="0.25">
      <c r="B171" s="64"/>
      <c r="H171" s="175"/>
    </row>
    <row r="172" spans="2:8" s="160" customFormat="1" x14ac:dyDescent="0.25">
      <c r="B172" s="64"/>
      <c r="H172" s="175"/>
    </row>
    <row r="173" spans="2:8" s="160" customFormat="1" x14ac:dyDescent="0.25">
      <c r="B173" s="64"/>
      <c r="H173" s="175"/>
    </row>
    <row r="174" spans="2:8" s="160" customFormat="1" x14ac:dyDescent="0.25">
      <c r="B174" s="64"/>
      <c r="H174" s="175"/>
    </row>
    <row r="175" spans="2:8" s="160" customFormat="1" x14ac:dyDescent="0.25">
      <c r="B175" s="64"/>
      <c r="H175" s="175"/>
    </row>
    <row r="176" spans="2:8" s="160" customFormat="1" x14ac:dyDescent="0.25">
      <c r="B176" s="64"/>
      <c r="H176" s="175"/>
    </row>
    <row r="177" spans="2:8" s="160" customFormat="1" x14ac:dyDescent="0.25">
      <c r="B177" s="64"/>
      <c r="H177" s="175"/>
    </row>
    <row r="178" spans="2:8" s="160" customFormat="1" x14ac:dyDescent="0.25">
      <c r="B178" s="64"/>
      <c r="H178" s="175"/>
    </row>
    <row r="179" spans="2:8" s="160" customFormat="1" x14ac:dyDescent="0.25">
      <c r="B179" s="64"/>
      <c r="H179" s="175"/>
    </row>
    <row r="180" spans="2:8" s="160" customFormat="1" x14ac:dyDescent="0.25">
      <c r="B180" s="64"/>
      <c r="H180" s="175"/>
    </row>
    <row r="181" spans="2:8" s="160" customFormat="1" x14ac:dyDescent="0.25">
      <c r="B181" s="64"/>
      <c r="H181" s="175"/>
    </row>
    <row r="182" spans="2:8" s="160" customFormat="1" x14ac:dyDescent="0.25">
      <c r="B182" s="64"/>
      <c r="H182" s="175"/>
    </row>
    <row r="183" spans="2:8" s="160" customFormat="1" x14ac:dyDescent="0.25">
      <c r="B183" s="64"/>
      <c r="H183" s="175"/>
    </row>
    <row r="184" spans="2:8" s="160" customFormat="1" x14ac:dyDescent="0.25">
      <c r="B184" s="64"/>
      <c r="H184" s="175"/>
    </row>
    <row r="185" spans="2:8" s="160" customFormat="1" x14ac:dyDescent="0.25">
      <c r="B185" s="64"/>
      <c r="H185" s="175"/>
    </row>
    <row r="186" spans="2:8" s="160" customFormat="1" x14ac:dyDescent="0.25">
      <c r="B186" s="64"/>
      <c r="H186" s="175"/>
    </row>
    <row r="187" spans="2:8" s="160" customFormat="1" x14ac:dyDescent="0.25">
      <c r="B187" s="64"/>
      <c r="H187" s="175"/>
    </row>
    <row r="188" spans="2:8" s="160" customFormat="1" x14ac:dyDescent="0.25">
      <c r="B188" s="64"/>
      <c r="H188" s="175"/>
    </row>
    <row r="189" spans="2:8" s="160" customFormat="1" x14ac:dyDescent="0.25">
      <c r="B189" s="64"/>
      <c r="H189" s="175"/>
    </row>
    <row r="190" spans="2:8" s="160" customFormat="1" x14ac:dyDescent="0.25">
      <c r="B190" s="64"/>
      <c r="H190" s="175"/>
    </row>
    <row r="191" spans="2:8" s="160" customFormat="1" x14ac:dyDescent="0.25">
      <c r="B191" s="64"/>
      <c r="H191" s="175"/>
    </row>
    <row r="192" spans="2:8" s="160" customFormat="1" x14ac:dyDescent="0.25">
      <c r="B192" s="64"/>
      <c r="H192" s="175"/>
    </row>
    <row r="193" spans="2:8" s="160" customFormat="1" x14ac:dyDescent="0.25">
      <c r="B193" s="64"/>
      <c r="H193" s="175"/>
    </row>
    <row r="194" spans="2:8" s="160" customFormat="1" x14ac:dyDescent="0.25">
      <c r="B194" s="64"/>
      <c r="H194" s="175"/>
    </row>
    <row r="195" spans="2:8" s="160" customFormat="1" x14ac:dyDescent="0.25">
      <c r="B195" s="64"/>
      <c r="H195" s="175"/>
    </row>
    <row r="196" spans="2:8" s="160" customFormat="1" x14ac:dyDescent="0.25">
      <c r="B196" s="64"/>
      <c r="H196" s="175"/>
    </row>
    <row r="197" spans="2:8" s="160" customFormat="1" x14ac:dyDescent="0.25">
      <c r="B197" s="64"/>
      <c r="H197" s="175"/>
    </row>
    <row r="198" spans="2:8" s="160" customFormat="1" x14ac:dyDescent="0.25">
      <c r="B198" s="64"/>
      <c r="H198" s="175"/>
    </row>
    <row r="199" spans="2:8" s="160" customFormat="1" x14ac:dyDescent="0.25">
      <c r="B199" s="64"/>
      <c r="H199" s="175"/>
    </row>
    <row r="200" spans="2:8" s="160" customFormat="1" x14ac:dyDescent="0.25">
      <c r="B200" s="64"/>
      <c r="H200" s="175"/>
    </row>
    <row r="201" spans="2:8" s="160" customFormat="1" x14ac:dyDescent="0.25">
      <c r="B201" s="64"/>
      <c r="H201" s="175"/>
    </row>
    <row r="202" spans="2:8" s="160" customFormat="1" x14ac:dyDescent="0.25">
      <c r="B202" s="64"/>
      <c r="H202" s="175"/>
    </row>
    <row r="203" spans="2:8" s="160" customFormat="1" x14ac:dyDescent="0.25">
      <c r="B203" s="64"/>
      <c r="H203" s="175"/>
    </row>
    <row r="204" spans="2:8" s="160" customFormat="1" x14ac:dyDescent="0.25">
      <c r="B204" s="64"/>
      <c r="H204" s="175"/>
    </row>
  </sheetData>
  <mergeCells count="8">
    <mergeCell ref="J8:J10"/>
    <mergeCell ref="K8:K9"/>
    <mergeCell ref="A20:A21"/>
    <mergeCell ref="B8:B10"/>
    <mergeCell ref="C8:D9"/>
    <mergeCell ref="E8:F9"/>
    <mergeCell ref="H8:I8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8"/>
  <sheetViews>
    <sheetView zoomScaleNormal="100" workbookViewId="0">
      <selection activeCell="Q9" sqref="Q9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75" customWidth="1"/>
    <col min="9" max="9" width="10.85546875" style="1" customWidth="1"/>
    <col min="10" max="10" width="14.28515625" style="175" customWidth="1"/>
    <col min="11" max="15" width="10.85546875" style="1" customWidth="1"/>
    <col min="16" max="16" width="4.42578125" style="1" customWidth="1"/>
    <col min="17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71" width="10.85546875" style="1" customWidth="1"/>
    <col min="272" max="272" width="4.42578125" style="1" customWidth="1"/>
    <col min="273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7" width="10.85546875" style="1" customWidth="1"/>
    <col min="528" max="528" width="4.42578125" style="1" customWidth="1"/>
    <col min="529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3" width="10.85546875" style="1" customWidth="1"/>
    <col min="784" max="784" width="4.42578125" style="1" customWidth="1"/>
    <col min="785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9" width="10.85546875" style="1" customWidth="1"/>
    <col min="1040" max="1040" width="4.42578125" style="1" customWidth="1"/>
    <col min="1041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5" width="10.85546875" style="1" customWidth="1"/>
    <col min="1296" max="1296" width="4.42578125" style="1" customWidth="1"/>
    <col min="1297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51" width="10.85546875" style="1" customWidth="1"/>
    <col min="1552" max="1552" width="4.42578125" style="1" customWidth="1"/>
    <col min="1553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7" width="10.85546875" style="1" customWidth="1"/>
    <col min="1808" max="1808" width="4.42578125" style="1" customWidth="1"/>
    <col min="1809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3" width="10.85546875" style="1" customWidth="1"/>
    <col min="2064" max="2064" width="4.42578125" style="1" customWidth="1"/>
    <col min="2065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9" width="10.85546875" style="1" customWidth="1"/>
    <col min="2320" max="2320" width="4.42578125" style="1" customWidth="1"/>
    <col min="2321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5" width="10.85546875" style="1" customWidth="1"/>
    <col min="2576" max="2576" width="4.42578125" style="1" customWidth="1"/>
    <col min="2577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31" width="10.85546875" style="1" customWidth="1"/>
    <col min="2832" max="2832" width="4.42578125" style="1" customWidth="1"/>
    <col min="2833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7" width="10.85546875" style="1" customWidth="1"/>
    <col min="3088" max="3088" width="4.42578125" style="1" customWidth="1"/>
    <col min="3089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3" width="10.85546875" style="1" customWidth="1"/>
    <col min="3344" max="3344" width="4.42578125" style="1" customWidth="1"/>
    <col min="3345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9" width="10.85546875" style="1" customWidth="1"/>
    <col min="3600" max="3600" width="4.42578125" style="1" customWidth="1"/>
    <col min="3601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5" width="10.85546875" style="1" customWidth="1"/>
    <col min="3856" max="3856" width="4.42578125" style="1" customWidth="1"/>
    <col min="3857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11" width="10.85546875" style="1" customWidth="1"/>
    <col min="4112" max="4112" width="4.42578125" style="1" customWidth="1"/>
    <col min="4113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7" width="10.85546875" style="1" customWidth="1"/>
    <col min="4368" max="4368" width="4.42578125" style="1" customWidth="1"/>
    <col min="4369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3" width="10.85546875" style="1" customWidth="1"/>
    <col min="4624" max="4624" width="4.42578125" style="1" customWidth="1"/>
    <col min="4625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9" width="10.85546875" style="1" customWidth="1"/>
    <col min="4880" max="4880" width="4.42578125" style="1" customWidth="1"/>
    <col min="4881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5" width="10.85546875" style="1" customWidth="1"/>
    <col min="5136" max="5136" width="4.42578125" style="1" customWidth="1"/>
    <col min="5137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91" width="10.85546875" style="1" customWidth="1"/>
    <col min="5392" max="5392" width="4.42578125" style="1" customWidth="1"/>
    <col min="5393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7" width="10.85546875" style="1" customWidth="1"/>
    <col min="5648" max="5648" width="4.42578125" style="1" customWidth="1"/>
    <col min="5649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3" width="10.85546875" style="1" customWidth="1"/>
    <col min="5904" max="5904" width="4.42578125" style="1" customWidth="1"/>
    <col min="5905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9" width="10.85546875" style="1" customWidth="1"/>
    <col min="6160" max="6160" width="4.42578125" style="1" customWidth="1"/>
    <col min="6161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5" width="10.85546875" style="1" customWidth="1"/>
    <col min="6416" max="6416" width="4.42578125" style="1" customWidth="1"/>
    <col min="6417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71" width="10.85546875" style="1" customWidth="1"/>
    <col min="6672" max="6672" width="4.42578125" style="1" customWidth="1"/>
    <col min="6673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7" width="10.85546875" style="1" customWidth="1"/>
    <col min="6928" max="6928" width="4.42578125" style="1" customWidth="1"/>
    <col min="6929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3" width="10.85546875" style="1" customWidth="1"/>
    <col min="7184" max="7184" width="4.42578125" style="1" customWidth="1"/>
    <col min="7185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9" width="10.85546875" style="1" customWidth="1"/>
    <col min="7440" max="7440" width="4.42578125" style="1" customWidth="1"/>
    <col min="7441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5" width="10.85546875" style="1" customWidth="1"/>
    <col min="7696" max="7696" width="4.42578125" style="1" customWidth="1"/>
    <col min="7697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51" width="10.85546875" style="1" customWidth="1"/>
    <col min="7952" max="7952" width="4.42578125" style="1" customWidth="1"/>
    <col min="7953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7" width="10.85546875" style="1" customWidth="1"/>
    <col min="8208" max="8208" width="4.42578125" style="1" customWidth="1"/>
    <col min="8209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3" width="10.85546875" style="1" customWidth="1"/>
    <col min="8464" max="8464" width="4.42578125" style="1" customWidth="1"/>
    <col min="8465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9" width="10.85546875" style="1" customWidth="1"/>
    <col min="8720" max="8720" width="4.42578125" style="1" customWidth="1"/>
    <col min="8721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5" width="10.85546875" style="1" customWidth="1"/>
    <col min="8976" max="8976" width="4.42578125" style="1" customWidth="1"/>
    <col min="8977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31" width="10.85546875" style="1" customWidth="1"/>
    <col min="9232" max="9232" width="4.42578125" style="1" customWidth="1"/>
    <col min="9233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7" width="10.85546875" style="1" customWidth="1"/>
    <col min="9488" max="9488" width="4.42578125" style="1" customWidth="1"/>
    <col min="9489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3" width="10.85546875" style="1" customWidth="1"/>
    <col min="9744" max="9744" width="4.42578125" style="1" customWidth="1"/>
    <col min="9745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9" width="10.85546875" style="1" customWidth="1"/>
    <col min="10000" max="10000" width="4.42578125" style="1" customWidth="1"/>
    <col min="10001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5" width="10.85546875" style="1" customWidth="1"/>
    <col min="10256" max="10256" width="4.42578125" style="1" customWidth="1"/>
    <col min="10257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11" width="10.85546875" style="1" customWidth="1"/>
    <col min="10512" max="10512" width="4.42578125" style="1" customWidth="1"/>
    <col min="10513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7" width="10.85546875" style="1" customWidth="1"/>
    <col min="10768" max="10768" width="4.42578125" style="1" customWidth="1"/>
    <col min="10769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3" width="10.85546875" style="1" customWidth="1"/>
    <col min="11024" max="11024" width="4.42578125" style="1" customWidth="1"/>
    <col min="11025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9" width="10.85546875" style="1" customWidth="1"/>
    <col min="11280" max="11280" width="4.42578125" style="1" customWidth="1"/>
    <col min="11281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5" width="10.85546875" style="1" customWidth="1"/>
    <col min="11536" max="11536" width="4.42578125" style="1" customWidth="1"/>
    <col min="11537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91" width="10.85546875" style="1" customWidth="1"/>
    <col min="11792" max="11792" width="4.42578125" style="1" customWidth="1"/>
    <col min="11793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7" width="10.85546875" style="1" customWidth="1"/>
    <col min="12048" max="12048" width="4.42578125" style="1" customWidth="1"/>
    <col min="12049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3" width="10.85546875" style="1" customWidth="1"/>
    <col min="12304" max="12304" width="4.42578125" style="1" customWidth="1"/>
    <col min="12305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9" width="10.85546875" style="1" customWidth="1"/>
    <col min="12560" max="12560" width="4.42578125" style="1" customWidth="1"/>
    <col min="12561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5" width="10.85546875" style="1" customWidth="1"/>
    <col min="12816" max="12816" width="4.42578125" style="1" customWidth="1"/>
    <col min="12817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71" width="10.85546875" style="1" customWidth="1"/>
    <col min="13072" max="13072" width="4.42578125" style="1" customWidth="1"/>
    <col min="13073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7" width="10.85546875" style="1" customWidth="1"/>
    <col min="13328" max="13328" width="4.42578125" style="1" customWidth="1"/>
    <col min="13329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3" width="10.85546875" style="1" customWidth="1"/>
    <col min="13584" max="13584" width="4.42578125" style="1" customWidth="1"/>
    <col min="13585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9" width="10.85546875" style="1" customWidth="1"/>
    <col min="13840" max="13840" width="4.42578125" style="1" customWidth="1"/>
    <col min="13841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5" width="10.85546875" style="1" customWidth="1"/>
    <col min="14096" max="14096" width="4.42578125" style="1" customWidth="1"/>
    <col min="14097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51" width="10.85546875" style="1" customWidth="1"/>
    <col min="14352" max="14352" width="4.42578125" style="1" customWidth="1"/>
    <col min="14353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7" width="10.85546875" style="1" customWidth="1"/>
    <col min="14608" max="14608" width="4.42578125" style="1" customWidth="1"/>
    <col min="14609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3" width="10.85546875" style="1" customWidth="1"/>
    <col min="14864" max="14864" width="4.42578125" style="1" customWidth="1"/>
    <col min="14865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9" width="10.85546875" style="1" customWidth="1"/>
    <col min="15120" max="15120" width="4.42578125" style="1" customWidth="1"/>
    <col min="15121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5" width="10.85546875" style="1" customWidth="1"/>
    <col min="15376" max="15376" width="4.42578125" style="1" customWidth="1"/>
    <col min="15377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31" width="10.85546875" style="1" customWidth="1"/>
    <col min="15632" max="15632" width="4.42578125" style="1" customWidth="1"/>
    <col min="15633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7" width="10.85546875" style="1" customWidth="1"/>
    <col min="15888" max="15888" width="4.42578125" style="1" customWidth="1"/>
    <col min="15889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3" width="10.85546875" style="1" customWidth="1"/>
    <col min="16144" max="16144" width="4.42578125" style="1" customWidth="1"/>
    <col min="16145" max="16384" width="9.140625" style="1"/>
  </cols>
  <sheetData>
    <row r="2" spans="1:15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1" x14ac:dyDescent="0.35">
      <c r="A3" s="2"/>
      <c r="B3" s="3"/>
      <c r="D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5" s="8" customFormat="1" ht="18" customHeight="1" thickBot="1" x14ac:dyDescent="0.3">
      <c r="B5" s="9"/>
      <c r="L5" s="10"/>
      <c r="M5" s="10"/>
      <c r="N5" s="10"/>
      <c r="O5" s="11"/>
    </row>
    <row r="6" spans="1:15" s="63" customFormat="1" ht="32.1" customHeight="1" thickBot="1" x14ac:dyDescent="0.3">
      <c r="A6" s="18"/>
      <c r="B6" s="391" t="s">
        <v>61</v>
      </c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57"/>
      <c r="N6" s="66"/>
      <c r="O6" s="100" t="s">
        <v>0</v>
      </c>
    </row>
    <row r="7" spans="1:15" ht="6.95" customHeight="1" thickBot="1" x14ac:dyDescent="0.3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s="47" customFormat="1" ht="18" customHeight="1" x14ac:dyDescent="0.25">
      <c r="B8" s="341" t="s">
        <v>1</v>
      </c>
      <c r="C8" s="337" t="s">
        <v>2</v>
      </c>
      <c r="D8" s="338"/>
      <c r="E8" s="346" t="s">
        <v>3</v>
      </c>
      <c r="F8" s="346"/>
      <c r="G8" s="15" t="s">
        <v>4</v>
      </c>
      <c r="H8" s="330" t="s">
        <v>5</v>
      </c>
      <c r="I8" s="331"/>
      <c r="J8" s="331"/>
      <c r="K8" s="332"/>
      <c r="L8" s="325" t="s">
        <v>6</v>
      </c>
      <c r="M8" s="328" t="s">
        <v>7</v>
      </c>
      <c r="N8" s="312" t="s">
        <v>8</v>
      </c>
      <c r="O8" s="16" t="s">
        <v>9</v>
      </c>
    </row>
    <row r="9" spans="1:15" s="59" customFormat="1" ht="18" customHeight="1" x14ac:dyDescent="0.25">
      <c r="A9" s="18" t="s">
        <v>62</v>
      </c>
      <c r="B9" s="342"/>
      <c r="C9" s="339"/>
      <c r="D9" s="340"/>
      <c r="E9" s="72" t="s">
        <v>10</v>
      </c>
      <c r="F9" s="73" t="s">
        <v>11</v>
      </c>
      <c r="G9" s="74"/>
      <c r="H9" s="333"/>
      <c r="I9" s="349"/>
      <c r="J9" s="344"/>
      <c r="K9" s="349"/>
      <c r="L9" s="326"/>
      <c r="M9" s="329"/>
      <c r="N9" s="313" t="s">
        <v>62</v>
      </c>
      <c r="O9" s="22" t="s">
        <v>62</v>
      </c>
    </row>
    <row r="10" spans="1:15" s="47" customFormat="1" ht="18" customHeight="1" thickBot="1" x14ac:dyDescent="0.3">
      <c r="B10" s="392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62</v>
      </c>
      <c r="J10" s="202" t="s">
        <v>717</v>
      </c>
      <c r="K10" s="187" t="s">
        <v>63</v>
      </c>
      <c r="L10" s="327"/>
      <c r="M10" s="90" t="s">
        <v>19</v>
      </c>
      <c r="N10" s="27" t="s">
        <v>20</v>
      </c>
      <c r="O10" s="28" t="s">
        <v>21</v>
      </c>
    </row>
    <row r="11" spans="1:15" s="47" customFormat="1" ht="18" customHeight="1" thickBot="1" x14ac:dyDescent="0.3">
      <c r="A11" s="59"/>
      <c r="B11" s="84" t="s">
        <v>64</v>
      </c>
      <c r="C11" s="76">
        <v>1.5</v>
      </c>
      <c r="D11" s="77">
        <f>C11/0.75</f>
        <v>2</v>
      </c>
      <c r="E11" s="76">
        <v>15</v>
      </c>
      <c r="F11" s="77">
        <v>18.5</v>
      </c>
      <c r="G11" s="92" t="s">
        <v>65</v>
      </c>
      <c r="H11" s="192"/>
      <c r="I11" s="186">
        <v>336.69566784</v>
      </c>
      <c r="J11" s="253"/>
      <c r="K11" s="103">
        <v>653.12724455999989</v>
      </c>
      <c r="L11" s="76" t="s">
        <v>66</v>
      </c>
      <c r="M11" s="81">
        <v>2900</v>
      </c>
      <c r="N11" s="81">
        <v>31</v>
      </c>
      <c r="O11" s="82">
        <v>3.5000000000000003E-2</v>
      </c>
    </row>
    <row r="12" spans="1:15" s="47" customFormat="1" ht="18" customHeight="1" thickBot="1" x14ac:dyDescent="0.3">
      <c r="A12" s="59"/>
      <c r="B12" s="84" t="s">
        <v>67</v>
      </c>
      <c r="C12" s="76">
        <v>2.2000000000000002</v>
      </c>
      <c r="D12" s="77">
        <v>3</v>
      </c>
      <c r="E12" s="76">
        <v>15</v>
      </c>
      <c r="F12" s="77">
        <v>24.5</v>
      </c>
      <c r="G12" s="92" t="s">
        <v>65</v>
      </c>
      <c r="H12" s="192"/>
      <c r="I12" s="186">
        <v>338.56619932800004</v>
      </c>
      <c r="J12" s="253"/>
      <c r="K12" s="103">
        <v>692.09665055999994</v>
      </c>
      <c r="L12" s="76" t="s">
        <v>66</v>
      </c>
      <c r="M12" s="81">
        <v>2900</v>
      </c>
      <c r="N12" s="81">
        <v>31</v>
      </c>
      <c r="O12" s="82">
        <v>3.5000000000000003E-2</v>
      </c>
    </row>
    <row r="13" spans="1:15" s="47" customFormat="1" ht="18" customHeight="1" thickBot="1" x14ac:dyDescent="0.3">
      <c r="A13" s="104"/>
      <c r="B13" s="84" t="s">
        <v>68</v>
      </c>
      <c r="C13" s="76">
        <v>3</v>
      </c>
      <c r="D13" s="77">
        <f>C13/0.75</f>
        <v>4</v>
      </c>
      <c r="E13" s="76">
        <v>15</v>
      </c>
      <c r="F13" s="77">
        <v>28</v>
      </c>
      <c r="G13" s="92" t="s">
        <v>65</v>
      </c>
      <c r="H13" s="192"/>
      <c r="I13" s="186">
        <v>340.43673081599991</v>
      </c>
      <c r="J13" s="253"/>
      <c r="K13" s="103">
        <v>784.3762039679998</v>
      </c>
      <c r="L13" s="76" t="s">
        <v>66</v>
      </c>
      <c r="M13" s="81">
        <v>2900</v>
      </c>
      <c r="N13" s="81">
        <v>31</v>
      </c>
      <c r="O13" s="82">
        <v>3.5000000000000003E-2</v>
      </c>
    </row>
    <row r="14" spans="1:15" s="47" customFormat="1" ht="18" customHeight="1" thickBot="1" x14ac:dyDescent="0.3">
      <c r="A14" s="61"/>
      <c r="B14" s="84" t="s">
        <v>69</v>
      </c>
      <c r="C14" s="76">
        <v>3</v>
      </c>
      <c r="D14" s="77">
        <f>C14/0.75</f>
        <v>4</v>
      </c>
      <c r="E14" s="76">
        <v>15</v>
      </c>
      <c r="F14" s="77">
        <v>35.200000000000003</v>
      </c>
      <c r="G14" s="92" t="s">
        <v>65</v>
      </c>
      <c r="H14" s="192"/>
      <c r="I14" s="186">
        <v>417.75203231999996</v>
      </c>
      <c r="J14" s="253"/>
      <c r="K14" s="103">
        <v>868.55012092799996</v>
      </c>
      <c r="L14" s="76" t="s">
        <v>66</v>
      </c>
      <c r="M14" s="81">
        <v>2900</v>
      </c>
      <c r="N14" s="81">
        <v>35</v>
      </c>
      <c r="O14" s="82">
        <f>46*26*36/1000000</f>
        <v>4.3055999999999997E-2</v>
      </c>
    </row>
    <row r="15" spans="1:15" s="47" customFormat="1" ht="18" customHeight="1" thickBot="1" x14ac:dyDescent="0.3">
      <c r="A15" s="59"/>
      <c r="B15" s="84" t="s">
        <v>70</v>
      </c>
      <c r="C15" s="76">
        <v>4</v>
      </c>
      <c r="D15" s="77">
        <v>5.5</v>
      </c>
      <c r="E15" s="76">
        <v>15</v>
      </c>
      <c r="F15" s="77">
        <v>45.5</v>
      </c>
      <c r="G15" s="92" t="s">
        <v>65</v>
      </c>
      <c r="H15" s="192"/>
      <c r="I15" s="186">
        <v>420.55782955199993</v>
      </c>
      <c r="J15" s="253"/>
      <c r="K15" s="103">
        <v>953.70384009600002</v>
      </c>
      <c r="L15" s="76" t="s">
        <v>66</v>
      </c>
      <c r="M15" s="81">
        <v>2900</v>
      </c>
      <c r="N15" s="81">
        <v>35</v>
      </c>
      <c r="O15" s="82">
        <f>46*26*36/1000000</f>
        <v>4.3055999999999997E-2</v>
      </c>
    </row>
    <row r="16" spans="1:15" s="47" customFormat="1" ht="18" customHeight="1" thickBot="1" x14ac:dyDescent="0.3">
      <c r="B16" s="84" t="s">
        <v>71</v>
      </c>
      <c r="C16" s="76">
        <v>5.5</v>
      </c>
      <c r="D16" s="77">
        <v>7.5</v>
      </c>
      <c r="E16" s="76">
        <v>15</v>
      </c>
      <c r="F16" s="77">
        <v>55</v>
      </c>
      <c r="G16" s="92" t="s">
        <v>65</v>
      </c>
      <c r="H16" s="192"/>
      <c r="I16" s="186">
        <v>459.21548030399993</v>
      </c>
      <c r="J16" s="253"/>
      <c r="K16" s="85">
        <v>1177.499571696</v>
      </c>
      <c r="L16" s="76" t="s">
        <v>24</v>
      </c>
      <c r="M16" s="81">
        <v>2900</v>
      </c>
      <c r="N16" s="81">
        <v>55</v>
      </c>
      <c r="O16" s="82">
        <f>46*32*46/1000000</f>
        <v>6.7711999999999994E-2</v>
      </c>
    </row>
    <row r="17" spans="1:15" s="47" customFormat="1" ht="18" customHeight="1" thickBot="1" x14ac:dyDescent="0.3">
      <c r="B17" s="84" t="s">
        <v>72</v>
      </c>
      <c r="C17" s="76">
        <v>7.5</v>
      </c>
      <c r="D17" s="77">
        <f>C17/0.75</f>
        <v>10</v>
      </c>
      <c r="E17" s="76">
        <v>15</v>
      </c>
      <c r="F17" s="77">
        <v>66</v>
      </c>
      <c r="G17" s="92" t="s">
        <v>65</v>
      </c>
      <c r="H17" s="192"/>
      <c r="I17" s="186">
        <v>460.77425654399991</v>
      </c>
      <c r="J17" s="253"/>
      <c r="K17" s="85">
        <v>1212.5052324000001</v>
      </c>
      <c r="L17" s="76" t="s">
        <v>24</v>
      </c>
      <c r="M17" s="81">
        <v>2900</v>
      </c>
      <c r="N17" s="81">
        <v>55</v>
      </c>
      <c r="O17" s="82">
        <f>46*32*46/1000000</f>
        <v>6.7711999999999994E-2</v>
      </c>
    </row>
    <row r="18" spans="1:15" s="47" customFormat="1" ht="18" customHeight="1" thickBot="1" x14ac:dyDescent="0.3">
      <c r="B18" s="84" t="s">
        <v>73</v>
      </c>
      <c r="C18" s="76">
        <v>9.1999999999999993</v>
      </c>
      <c r="D18" s="77">
        <v>12.5</v>
      </c>
      <c r="E18" s="76">
        <v>15</v>
      </c>
      <c r="F18" s="77">
        <v>72</v>
      </c>
      <c r="G18" s="92" t="s">
        <v>65</v>
      </c>
      <c r="H18" s="192"/>
      <c r="I18" s="186">
        <v>462.3330327839999</v>
      </c>
      <c r="J18" s="253"/>
      <c r="K18" s="85">
        <v>1535.8399610399999</v>
      </c>
      <c r="L18" s="76" t="s">
        <v>24</v>
      </c>
      <c r="M18" s="81">
        <v>2900</v>
      </c>
      <c r="N18" s="81">
        <v>55</v>
      </c>
      <c r="O18" s="82">
        <f>46*32*46/1000000</f>
        <v>6.7711999999999994E-2</v>
      </c>
    </row>
    <row r="19" spans="1:15" s="47" customFormat="1" ht="18" customHeight="1" thickBot="1" x14ac:dyDescent="0.3">
      <c r="A19" s="18" t="s">
        <v>63</v>
      </c>
      <c r="B19" s="105" t="s">
        <v>74</v>
      </c>
      <c r="C19" s="76">
        <v>11</v>
      </c>
      <c r="D19" s="77">
        <v>15</v>
      </c>
      <c r="E19" s="76">
        <v>15</v>
      </c>
      <c r="F19" s="77">
        <v>82</v>
      </c>
      <c r="G19" s="92" t="s">
        <v>65</v>
      </c>
      <c r="H19" s="192"/>
      <c r="I19" s="186">
        <v>463.268298528</v>
      </c>
      <c r="J19" s="253"/>
      <c r="K19" s="85">
        <v>1751.9754208320001</v>
      </c>
      <c r="L19" s="76" t="s">
        <v>24</v>
      </c>
      <c r="M19" s="81">
        <v>2900</v>
      </c>
      <c r="N19" s="81">
        <v>55</v>
      </c>
      <c r="O19" s="82">
        <f>46*32*46/1000000</f>
        <v>6.7711999999999994E-2</v>
      </c>
    </row>
    <row r="20" spans="1:15" s="47" customFormat="1" ht="18" customHeight="1" thickBot="1" x14ac:dyDescent="0.3">
      <c r="A20" s="106"/>
      <c r="B20" s="105" t="s">
        <v>75</v>
      </c>
      <c r="C20" s="76">
        <v>15</v>
      </c>
      <c r="D20" s="77">
        <v>20</v>
      </c>
      <c r="E20" s="76">
        <v>15</v>
      </c>
      <c r="F20" s="77">
        <v>90</v>
      </c>
      <c r="G20" s="92" t="s">
        <v>65</v>
      </c>
      <c r="H20" s="192"/>
      <c r="I20" s="186">
        <v>464.20356427199994</v>
      </c>
      <c r="J20" s="253"/>
      <c r="K20" s="85">
        <v>1820.6951847839998</v>
      </c>
      <c r="L20" s="76" t="s">
        <v>24</v>
      </c>
      <c r="M20" s="81">
        <v>2900</v>
      </c>
      <c r="N20" s="81">
        <v>55</v>
      </c>
      <c r="O20" s="82">
        <f>46*32*46/1000000</f>
        <v>6.7711999999999994E-2</v>
      </c>
    </row>
    <row r="21" spans="1:15" s="47" customFormat="1" ht="18" customHeight="1" thickBot="1" x14ac:dyDescent="0.3">
      <c r="B21" s="84" t="s">
        <v>76</v>
      </c>
      <c r="C21" s="76">
        <v>3</v>
      </c>
      <c r="D21" s="77">
        <f>C21/0.75</f>
        <v>4</v>
      </c>
      <c r="E21" s="76">
        <v>27</v>
      </c>
      <c r="F21" s="77">
        <v>26.3</v>
      </c>
      <c r="G21" s="92" t="s">
        <v>77</v>
      </c>
      <c r="H21" s="192"/>
      <c r="I21" s="186">
        <v>377.53560532800003</v>
      </c>
      <c r="J21" s="253"/>
      <c r="K21" s="85">
        <v>828.3336939359998</v>
      </c>
      <c r="L21" s="76" t="s">
        <v>24</v>
      </c>
      <c r="M21" s="81">
        <v>2900</v>
      </c>
      <c r="N21" s="81">
        <v>35</v>
      </c>
      <c r="O21" s="82">
        <f>0.46*0.26*0.34</f>
        <v>4.0664000000000006E-2</v>
      </c>
    </row>
    <row r="22" spans="1:15" s="47" customFormat="1" ht="18" customHeight="1" thickBot="1" x14ac:dyDescent="0.3">
      <c r="B22" s="84" t="s">
        <v>78</v>
      </c>
      <c r="C22" s="76">
        <v>4</v>
      </c>
      <c r="D22" s="77">
        <v>5.5</v>
      </c>
      <c r="E22" s="76">
        <v>27</v>
      </c>
      <c r="F22" s="77">
        <v>33</v>
      </c>
      <c r="G22" s="92" t="s">
        <v>77</v>
      </c>
      <c r="H22" s="192"/>
      <c r="I22" s="186">
        <v>380.02964731199995</v>
      </c>
      <c r="J22" s="253"/>
      <c r="K22" s="85">
        <v>911.92863686399994</v>
      </c>
      <c r="L22" s="76" t="s">
        <v>24</v>
      </c>
      <c r="M22" s="81">
        <v>2900</v>
      </c>
      <c r="N22" s="81">
        <v>35</v>
      </c>
      <c r="O22" s="82">
        <f>0.46*0.26*0.34</f>
        <v>4.0664000000000006E-2</v>
      </c>
    </row>
    <row r="23" spans="1:15" s="47" customFormat="1" ht="18" customHeight="1" thickBot="1" x14ac:dyDescent="0.3">
      <c r="B23" s="84" t="s">
        <v>79</v>
      </c>
      <c r="C23" s="76">
        <v>5.5</v>
      </c>
      <c r="D23" s="77">
        <v>7.5</v>
      </c>
      <c r="E23" s="76">
        <v>27</v>
      </c>
      <c r="F23" s="77">
        <v>40.1</v>
      </c>
      <c r="G23" s="92" t="s">
        <v>77</v>
      </c>
      <c r="H23" s="192"/>
      <c r="I23" s="186">
        <v>451.10984385599994</v>
      </c>
      <c r="J23" s="253"/>
      <c r="K23" s="85">
        <v>1168.814961216</v>
      </c>
      <c r="L23" s="76" t="s">
        <v>66</v>
      </c>
      <c r="M23" s="81">
        <v>2900</v>
      </c>
      <c r="N23" s="81">
        <v>38</v>
      </c>
      <c r="O23" s="82">
        <f>48*28*36/1000000</f>
        <v>4.8384000000000003E-2</v>
      </c>
    </row>
    <row r="24" spans="1:15" s="47" customFormat="1" ht="18" customHeight="1" thickBot="1" x14ac:dyDescent="0.3">
      <c r="B24" s="84" t="s">
        <v>80</v>
      </c>
      <c r="C24" s="76">
        <v>7.5</v>
      </c>
      <c r="D24" s="77">
        <f>C24/0.75</f>
        <v>10</v>
      </c>
      <c r="E24" s="76">
        <v>27</v>
      </c>
      <c r="F24" s="77">
        <v>50</v>
      </c>
      <c r="G24" s="92" t="s">
        <v>77</v>
      </c>
      <c r="H24" s="192"/>
      <c r="I24" s="186">
        <v>456.40968307200001</v>
      </c>
      <c r="J24" s="253"/>
      <c r="K24" s="85">
        <v>1207.6952942879998</v>
      </c>
      <c r="L24" s="76" t="s">
        <v>66</v>
      </c>
      <c r="M24" s="81">
        <v>2900</v>
      </c>
      <c r="N24" s="81">
        <v>38</v>
      </c>
      <c r="O24" s="82">
        <f>48*28*36/1000000</f>
        <v>4.8384000000000003E-2</v>
      </c>
    </row>
    <row r="25" spans="1:15" s="47" customFormat="1" ht="18" customHeight="1" thickBot="1" x14ac:dyDescent="0.3">
      <c r="B25" s="84" t="s">
        <v>81</v>
      </c>
      <c r="C25" s="76">
        <v>9.1999999999999993</v>
      </c>
      <c r="D25" s="77">
        <v>12.5</v>
      </c>
      <c r="E25" s="76">
        <v>27</v>
      </c>
      <c r="F25" s="77">
        <v>55</v>
      </c>
      <c r="G25" s="92" t="s">
        <v>77</v>
      </c>
      <c r="H25" s="192"/>
      <c r="I25" s="186">
        <v>474.80324270399996</v>
      </c>
      <c r="J25" s="253"/>
      <c r="K25" s="85">
        <v>1549.3345096319999</v>
      </c>
      <c r="L25" s="76" t="s">
        <v>24</v>
      </c>
      <c r="M25" s="81">
        <v>2900</v>
      </c>
      <c r="N25" s="81">
        <v>58</v>
      </c>
      <c r="O25" s="82">
        <f>48*32*46/1000000</f>
        <v>7.0655999999999997E-2</v>
      </c>
    </row>
    <row r="26" spans="1:15" s="47" customFormat="1" ht="18" customHeight="1" thickBot="1" x14ac:dyDescent="0.3">
      <c r="B26" s="84" t="s">
        <v>82</v>
      </c>
      <c r="C26" s="76">
        <v>11</v>
      </c>
      <c r="D26" s="77">
        <v>15</v>
      </c>
      <c r="E26" s="76">
        <v>27</v>
      </c>
      <c r="F26" s="77">
        <v>63.5</v>
      </c>
      <c r="G26" s="92" t="s">
        <v>77</v>
      </c>
      <c r="H26" s="192"/>
      <c r="I26" s="186">
        <v>476.36201894399994</v>
      </c>
      <c r="J26" s="253"/>
      <c r="K26" s="85">
        <v>1765.4699694239998</v>
      </c>
      <c r="L26" s="76" t="s">
        <v>24</v>
      </c>
      <c r="M26" s="81">
        <v>2900</v>
      </c>
      <c r="N26" s="81">
        <v>58</v>
      </c>
      <c r="O26" s="82">
        <f>48*32*46/1000000</f>
        <v>7.0655999999999997E-2</v>
      </c>
    </row>
    <row r="27" spans="1:15" s="47" customFormat="1" ht="18" customHeight="1" thickBot="1" x14ac:dyDescent="0.3">
      <c r="B27" s="84" t="s">
        <v>83</v>
      </c>
      <c r="C27" s="76">
        <v>15</v>
      </c>
      <c r="D27" s="77">
        <f>C27/0.75</f>
        <v>20</v>
      </c>
      <c r="E27" s="76">
        <v>27</v>
      </c>
      <c r="F27" s="77">
        <v>75.2</v>
      </c>
      <c r="G27" s="92" t="s">
        <v>77</v>
      </c>
      <c r="H27" s="192"/>
      <c r="I27" s="186">
        <v>478.85606092799998</v>
      </c>
      <c r="J27" s="253"/>
      <c r="K27" s="85">
        <v>1851.514417872</v>
      </c>
      <c r="L27" s="76" t="s">
        <v>24</v>
      </c>
      <c r="M27" s="81">
        <v>2900</v>
      </c>
      <c r="N27" s="81">
        <v>58</v>
      </c>
      <c r="O27" s="82">
        <f>48*32*46/1000000</f>
        <v>7.0655999999999997E-2</v>
      </c>
    </row>
    <row r="28" spans="1:15" s="47" customFormat="1" ht="18" customHeight="1" thickBot="1" x14ac:dyDescent="0.3">
      <c r="B28" s="84" t="s">
        <v>84</v>
      </c>
      <c r="C28" s="76">
        <v>18.5</v>
      </c>
      <c r="D28" s="77">
        <v>25</v>
      </c>
      <c r="E28" s="76">
        <v>27</v>
      </c>
      <c r="F28" s="77">
        <v>80.7</v>
      </c>
      <c r="G28" s="92" t="s">
        <v>77</v>
      </c>
      <c r="H28" s="192"/>
      <c r="I28" s="186">
        <v>481.66185815999989</v>
      </c>
      <c r="J28" s="253"/>
      <c r="K28" s="85">
        <v>2002.7602496159998</v>
      </c>
      <c r="L28" s="76" t="s">
        <v>24</v>
      </c>
      <c r="M28" s="81">
        <v>2900</v>
      </c>
      <c r="N28" s="81">
        <v>58</v>
      </c>
      <c r="O28" s="82">
        <f>48*32*46/1000000</f>
        <v>7.0655999999999997E-2</v>
      </c>
    </row>
    <row r="29" spans="1:15" s="47" customFormat="1" ht="18" customHeight="1" thickBot="1" x14ac:dyDescent="0.3">
      <c r="B29" s="84" t="s">
        <v>85</v>
      </c>
      <c r="C29" s="76">
        <v>18.5</v>
      </c>
      <c r="D29" s="77">
        <v>25</v>
      </c>
      <c r="E29" s="76">
        <v>27</v>
      </c>
      <c r="F29" s="77">
        <v>92.5</v>
      </c>
      <c r="G29" s="92" t="s">
        <v>77</v>
      </c>
      <c r="H29" s="192"/>
      <c r="I29" s="186">
        <v>834.88055414399992</v>
      </c>
      <c r="J29" s="253"/>
      <c r="K29" s="85">
        <v>2366.8903792800002</v>
      </c>
      <c r="L29" s="76" t="s">
        <v>24</v>
      </c>
      <c r="M29" s="81">
        <v>2900</v>
      </c>
      <c r="N29" s="81">
        <v>82</v>
      </c>
      <c r="O29" s="82">
        <f>0.65*0.38*0.46</f>
        <v>0.11362000000000001</v>
      </c>
    </row>
    <row r="30" spans="1:15" s="47" customFormat="1" ht="18" customHeight="1" thickBot="1" x14ac:dyDescent="0.3">
      <c r="B30" s="84" t="s">
        <v>86</v>
      </c>
      <c r="C30" s="76">
        <v>22</v>
      </c>
      <c r="D30" s="77">
        <v>30</v>
      </c>
      <c r="E30" s="76">
        <v>27</v>
      </c>
      <c r="F30" s="77">
        <v>103.5</v>
      </c>
      <c r="G30" s="92" t="s">
        <v>77</v>
      </c>
      <c r="H30" s="192"/>
      <c r="I30" s="186">
        <v>837.998106624</v>
      </c>
      <c r="J30" s="253"/>
      <c r="K30" s="85">
        <v>2748.0334381919993</v>
      </c>
      <c r="L30" s="76" t="s">
        <v>24</v>
      </c>
      <c r="M30" s="81">
        <v>2900</v>
      </c>
      <c r="N30" s="81">
        <v>82</v>
      </c>
      <c r="O30" s="82">
        <f>0.65*0.38*0.46</f>
        <v>0.11362000000000001</v>
      </c>
    </row>
    <row r="31" spans="1:15" s="47" customFormat="1" ht="18" customHeight="1" thickBot="1" x14ac:dyDescent="0.3">
      <c r="B31" s="84" t="s">
        <v>87</v>
      </c>
      <c r="C31" s="76">
        <v>30</v>
      </c>
      <c r="D31" s="77">
        <f>C31/0.75</f>
        <v>40</v>
      </c>
      <c r="E31" s="76">
        <v>27</v>
      </c>
      <c r="F31" s="77">
        <v>117</v>
      </c>
      <c r="G31" s="92" t="s">
        <v>77</v>
      </c>
      <c r="H31" s="192"/>
      <c r="I31" s="186">
        <v>841.42741435200003</v>
      </c>
      <c r="J31" s="253"/>
      <c r="K31" s="85">
        <v>3402.7639954559995</v>
      </c>
      <c r="L31" s="76" t="s">
        <v>24</v>
      </c>
      <c r="M31" s="81">
        <v>2900</v>
      </c>
      <c r="N31" s="81">
        <v>82</v>
      </c>
      <c r="O31" s="82">
        <f>0.65*0.38*0.46</f>
        <v>0.11362000000000001</v>
      </c>
    </row>
    <row r="32" spans="1:15" s="47" customFormat="1" ht="18" customHeight="1" thickBot="1" x14ac:dyDescent="0.3">
      <c r="B32" s="84" t="s">
        <v>88</v>
      </c>
      <c r="C32" s="76">
        <v>37</v>
      </c>
      <c r="D32" s="77">
        <v>50</v>
      </c>
      <c r="E32" s="76">
        <v>27</v>
      </c>
      <c r="F32" s="77">
        <v>142</v>
      </c>
      <c r="G32" s="92" t="s">
        <v>77</v>
      </c>
      <c r="H32" s="192"/>
      <c r="I32" s="186">
        <v>844.544966832</v>
      </c>
      <c r="J32" s="253"/>
      <c r="K32" s="85">
        <v>3546.9730658879998</v>
      </c>
      <c r="L32" s="76" t="s">
        <v>24</v>
      </c>
      <c r="M32" s="81">
        <v>2900</v>
      </c>
      <c r="N32" s="81">
        <v>82</v>
      </c>
      <c r="O32" s="82">
        <f>0.65*0.38*0.46</f>
        <v>0.11362000000000001</v>
      </c>
    </row>
    <row r="33" spans="1:15" s="47" customFormat="1" ht="18" customHeight="1" thickBot="1" x14ac:dyDescent="0.3">
      <c r="B33" s="84" t="s">
        <v>89</v>
      </c>
      <c r="C33" s="76">
        <v>45</v>
      </c>
      <c r="D33" s="77">
        <v>60</v>
      </c>
      <c r="E33" s="76">
        <v>27</v>
      </c>
      <c r="F33" s="77">
        <v>159</v>
      </c>
      <c r="G33" s="92" t="s">
        <v>77</v>
      </c>
      <c r="H33" s="192"/>
      <c r="I33" s="227" t="s">
        <v>28</v>
      </c>
      <c r="J33" s="231"/>
      <c r="K33" s="107" t="s">
        <v>28</v>
      </c>
      <c r="L33" s="76" t="s">
        <v>24</v>
      </c>
      <c r="M33" s="81">
        <v>2900</v>
      </c>
      <c r="N33" s="81">
        <v>82</v>
      </c>
      <c r="O33" s="82">
        <f>0.65*0.38*0.46</f>
        <v>0.11362000000000001</v>
      </c>
    </row>
    <row r="34" spans="1:15" s="47" customFormat="1" ht="18" customHeight="1" thickBot="1" x14ac:dyDescent="0.3">
      <c r="A34" s="61"/>
      <c r="B34" s="84" t="s">
        <v>90</v>
      </c>
      <c r="C34" s="76">
        <v>2.2000000000000002</v>
      </c>
      <c r="D34" s="77">
        <v>3</v>
      </c>
      <c r="E34" s="76">
        <v>48</v>
      </c>
      <c r="F34" s="77">
        <v>12.8</v>
      </c>
      <c r="G34" s="92" t="s">
        <v>91</v>
      </c>
      <c r="H34" s="192"/>
      <c r="I34" s="186">
        <v>374.418052848</v>
      </c>
      <c r="J34" s="253"/>
      <c r="K34" s="85">
        <v>727.94850407999979</v>
      </c>
      <c r="L34" s="76" t="s">
        <v>24</v>
      </c>
      <c r="M34" s="81">
        <v>2900</v>
      </c>
      <c r="N34" s="81">
        <v>35</v>
      </c>
      <c r="O34" s="82">
        <f>0.5*0.26*0.34</f>
        <v>4.4200000000000003E-2</v>
      </c>
    </row>
    <row r="35" spans="1:15" s="47" customFormat="1" ht="18" customHeight="1" thickBot="1" x14ac:dyDescent="0.3">
      <c r="A35" s="60"/>
      <c r="B35" s="84" t="s">
        <v>92</v>
      </c>
      <c r="C35" s="76">
        <v>3</v>
      </c>
      <c r="D35" s="77">
        <f>C35/0.75</f>
        <v>4</v>
      </c>
      <c r="E35" s="76">
        <v>48</v>
      </c>
      <c r="F35" s="77">
        <v>17</v>
      </c>
      <c r="G35" s="92" t="s">
        <v>91</v>
      </c>
      <c r="H35" s="192"/>
      <c r="I35" s="186">
        <v>377.53560532800003</v>
      </c>
      <c r="J35" s="253"/>
      <c r="K35" s="85">
        <v>828.3336939359998</v>
      </c>
      <c r="L35" s="76" t="s">
        <v>24</v>
      </c>
      <c r="M35" s="81">
        <v>2900</v>
      </c>
      <c r="N35" s="81">
        <v>35</v>
      </c>
      <c r="O35" s="82">
        <f>0.5*0.26*0.34</f>
        <v>4.4200000000000003E-2</v>
      </c>
    </row>
    <row r="36" spans="1:15" s="47" customFormat="1" ht="18" customHeight="1" thickBot="1" x14ac:dyDescent="0.3">
      <c r="B36" s="84" t="s">
        <v>93</v>
      </c>
      <c r="C36" s="76">
        <v>4</v>
      </c>
      <c r="D36" s="77">
        <v>5.5</v>
      </c>
      <c r="E36" s="76">
        <v>54</v>
      </c>
      <c r="F36" s="77">
        <v>20.3</v>
      </c>
      <c r="G36" s="92" t="s">
        <v>91</v>
      </c>
      <c r="H36" s="192"/>
      <c r="I36" s="186">
        <v>380.02964731199995</v>
      </c>
      <c r="J36" s="253"/>
      <c r="K36" s="85">
        <v>911.92863686399994</v>
      </c>
      <c r="L36" s="76" t="s">
        <v>24</v>
      </c>
      <c r="M36" s="81">
        <v>2900</v>
      </c>
      <c r="N36" s="81">
        <v>35</v>
      </c>
      <c r="O36" s="82">
        <f>0.5*0.26*0.34</f>
        <v>4.4200000000000003E-2</v>
      </c>
    </row>
    <row r="37" spans="1:15" s="47" customFormat="1" ht="18" customHeight="1" thickBot="1" x14ac:dyDescent="0.3">
      <c r="B37" s="84" t="s">
        <v>94</v>
      </c>
      <c r="C37" s="76">
        <v>5.5</v>
      </c>
      <c r="D37" s="77">
        <v>7.5</v>
      </c>
      <c r="E37" s="76">
        <v>54</v>
      </c>
      <c r="F37" s="77">
        <v>26.6</v>
      </c>
      <c r="G37" s="92" t="s">
        <v>91</v>
      </c>
      <c r="H37" s="192"/>
      <c r="I37" s="186">
        <v>424.29889252800001</v>
      </c>
      <c r="J37" s="253"/>
      <c r="K37" s="85">
        <v>1141.2023535359999</v>
      </c>
      <c r="L37" s="76" t="s">
        <v>24</v>
      </c>
      <c r="M37" s="81">
        <v>2900</v>
      </c>
      <c r="N37" s="81">
        <v>38</v>
      </c>
      <c r="O37" s="82">
        <f>0.48*0.28*0.4</f>
        <v>5.3760000000000009E-2</v>
      </c>
    </row>
    <row r="38" spans="1:15" s="47" customFormat="1" ht="18" customHeight="1" thickBot="1" x14ac:dyDescent="0.3">
      <c r="B38" s="84" t="s">
        <v>95</v>
      </c>
      <c r="C38" s="76">
        <v>7.5</v>
      </c>
      <c r="D38" s="77">
        <f>C38/0.75</f>
        <v>10</v>
      </c>
      <c r="E38" s="76">
        <v>54</v>
      </c>
      <c r="F38" s="77">
        <v>34.4</v>
      </c>
      <c r="G38" s="92" t="s">
        <v>91</v>
      </c>
      <c r="H38" s="192"/>
      <c r="I38" s="186">
        <v>426.79293451199993</v>
      </c>
      <c r="J38" s="253"/>
      <c r="K38" s="85">
        <v>1177.499571696</v>
      </c>
      <c r="L38" s="76" t="s">
        <v>24</v>
      </c>
      <c r="M38" s="81">
        <v>2900</v>
      </c>
      <c r="N38" s="81">
        <v>38</v>
      </c>
      <c r="O38" s="82">
        <f>0.48*0.28*0.4</f>
        <v>5.3760000000000009E-2</v>
      </c>
    </row>
    <row r="39" spans="1:15" s="47" customFormat="1" ht="18" customHeight="1" thickBot="1" x14ac:dyDescent="0.3">
      <c r="B39" s="84" t="s">
        <v>96</v>
      </c>
      <c r="C39" s="76">
        <v>9.1999999999999993</v>
      </c>
      <c r="D39" s="77">
        <v>12.5</v>
      </c>
      <c r="E39" s="76">
        <v>54</v>
      </c>
      <c r="F39" s="77">
        <v>40.9</v>
      </c>
      <c r="G39" s="92" t="s">
        <v>91</v>
      </c>
      <c r="H39" s="192"/>
      <c r="I39" s="186">
        <v>459.21548030399993</v>
      </c>
      <c r="J39" s="253"/>
      <c r="K39" s="85">
        <v>1530.7182676800001</v>
      </c>
      <c r="L39" s="76" t="s">
        <v>24</v>
      </c>
      <c r="M39" s="81">
        <v>2900</v>
      </c>
      <c r="N39" s="81">
        <v>45</v>
      </c>
      <c r="O39" s="82">
        <f>48*28*38/1000000</f>
        <v>5.1071999999999999E-2</v>
      </c>
    </row>
    <row r="40" spans="1:15" s="47" customFormat="1" ht="18" customHeight="1" thickBot="1" x14ac:dyDescent="0.3">
      <c r="B40" s="84" t="s">
        <v>97</v>
      </c>
      <c r="C40" s="76">
        <v>11</v>
      </c>
      <c r="D40" s="77">
        <v>15</v>
      </c>
      <c r="E40" s="76">
        <v>54</v>
      </c>
      <c r="F40" s="77">
        <v>47.5</v>
      </c>
      <c r="G40" s="92" t="s">
        <v>91</v>
      </c>
      <c r="H40" s="192"/>
      <c r="I40" s="186">
        <v>463.268298528</v>
      </c>
      <c r="J40" s="253"/>
      <c r="K40" s="85">
        <v>1751.9754208320001</v>
      </c>
      <c r="L40" s="76" t="s">
        <v>24</v>
      </c>
      <c r="M40" s="81">
        <v>2900</v>
      </c>
      <c r="N40" s="81">
        <v>45</v>
      </c>
      <c r="O40" s="82">
        <f>48*28*38/1000000</f>
        <v>5.1071999999999999E-2</v>
      </c>
    </row>
    <row r="41" spans="1:15" s="47" customFormat="1" ht="18" customHeight="1" thickBot="1" x14ac:dyDescent="0.3">
      <c r="B41" s="84" t="s">
        <v>98</v>
      </c>
      <c r="C41" s="76">
        <v>15</v>
      </c>
      <c r="D41" s="77">
        <f t="shared" ref="D41:D46" si="0">C41/0.75</f>
        <v>20</v>
      </c>
      <c r="E41" s="76">
        <v>54</v>
      </c>
      <c r="F41" s="77">
        <v>52</v>
      </c>
      <c r="G41" s="92" t="s">
        <v>91</v>
      </c>
      <c r="H41" s="192"/>
      <c r="I41" s="186">
        <v>468.25638249600001</v>
      </c>
      <c r="J41" s="253"/>
      <c r="K41" s="85">
        <v>1840.2912289440001</v>
      </c>
      <c r="L41" s="76" t="s">
        <v>24</v>
      </c>
      <c r="M41" s="81">
        <v>2900</v>
      </c>
      <c r="N41" s="81">
        <v>46</v>
      </c>
      <c r="O41" s="82">
        <f>48*28*38/1000000</f>
        <v>5.1071999999999999E-2</v>
      </c>
    </row>
    <row r="42" spans="1:15" s="47" customFormat="1" ht="18" customHeight="1" thickBot="1" x14ac:dyDescent="0.3">
      <c r="B42" s="84" t="s">
        <v>99</v>
      </c>
      <c r="C42" s="76">
        <v>15</v>
      </c>
      <c r="D42" s="77">
        <f t="shared" si="0"/>
        <v>20</v>
      </c>
      <c r="E42" s="76">
        <v>54</v>
      </c>
      <c r="F42" s="77">
        <v>59</v>
      </c>
      <c r="G42" s="92" t="s">
        <v>91</v>
      </c>
      <c r="H42" s="192"/>
      <c r="I42" s="186">
        <v>490.07924985599999</v>
      </c>
      <c r="J42" s="253"/>
      <c r="K42" s="85">
        <v>1866.3005239199999</v>
      </c>
      <c r="L42" s="76" t="s">
        <v>24</v>
      </c>
      <c r="M42" s="81">
        <v>2900</v>
      </c>
      <c r="N42" s="81">
        <v>50</v>
      </c>
      <c r="O42" s="82">
        <f>48*32*46/1000000</f>
        <v>7.0655999999999997E-2</v>
      </c>
    </row>
    <row r="43" spans="1:15" s="47" customFormat="1" ht="18" customHeight="1" thickBot="1" x14ac:dyDescent="0.3">
      <c r="B43" s="84" t="s">
        <v>100</v>
      </c>
      <c r="C43" s="76">
        <v>18.5</v>
      </c>
      <c r="D43" s="77">
        <v>25</v>
      </c>
      <c r="E43" s="76">
        <v>54</v>
      </c>
      <c r="F43" s="77">
        <v>71.5</v>
      </c>
      <c r="G43" s="92" t="s">
        <v>91</v>
      </c>
      <c r="H43" s="192"/>
      <c r="I43" s="186">
        <v>492.57329183999997</v>
      </c>
      <c r="J43" s="253"/>
      <c r="K43" s="85">
        <v>2017.1900639519999</v>
      </c>
      <c r="L43" s="76" t="s">
        <v>24</v>
      </c>
      <c r="M43" s="81">
        <v>2900</v>
      </c>
      <c r="N43" s="81">
        <v>50</v>
      </c>
      <c r="O43" s="82">
        <f>48*32*46/1000000</f>
        <v>7.0655999999999997E-2</v>
      </c>
    </row>
    <row r="44" spans="1:15" s="47" customFormat="1" ht="18" customHeight="1" thickBot="1" x14ac:dyDescent="0.3">
      <c r="A44" s="60"/>
      <c r="B44" s="84" t="s">
        <v>101</v>
      </c>
      <c r="C44" s="76">
        <v>22</v>
      </c>
      <c r="D44" s="77">
        <v>30</v>
      </c>
      <c r="E44" s="76">
        <v>54</v>
      </c>
      <c r="F44" s="77">
        <v>81.5</v>
      </c>
      <c r="G44" s="92" t="s">
        <v>91</v>
      </c>
      <c r="H44" s="192"/>
      <c r="I44" s="186">
        <v>495.37908907199994</v>
      </c>
      <c r="J44" s="253"/>
      <c r="K44" s="85">
        <v>2375.5749897599999</v>
      </c>
      <c r="L44" s="76" t="s">
        <v>24</v>
      </c>
      <c r="M44" s="81">
        <v>2900</v>
      </c>
      <c r="N44" s="81">
        <v>50</v>
      </c>
      <c r="O44" s="82">
        <f>48*32*46/1000000</f>
        <v>7.0655999999999997E-2</v>
      </c>
    </row>
    <row r="45" spans="1:15" s="47" customFormat="1" ht="18" customHeight="1" thickBot="1" x14ac:dyDescent="0.3">
      <c r="B45" s="84" t="s">
        <v>102</v>
      </c>
      <c r="C45" s="76">
        <v>30</v>
      </c>
      <c r="D45" s="77">
        <f>C45/0.75</f>
        <v>40</v>
      </c>
      <c r="E45" s="76">
        <v>54</v>
      </c>
      <c r="F45" s="77">
        <v>87.5</v>
      </c>
      <c r="G45" s="92" t="s">
        <v>91</v>
      </c>
      <c r="H45" s="192"/>
      <c r="I45" s="186">
        <v>497.87313105599998</v>
      </c>
      <c r="J45" s="253"/>
      <c r="K45" s="85">
        <v>3048.9217889759993</v>
      </c>
      <c r="L45" s="76" t="s">
        <v>24</v>
      </c>
      <c r="M45" s="81">
        <v>2900</v>
      </c>
      <c r="N45" s="81">
        <v>50</v>
      </c>
      <c r="O45" s="82">
        <f>48*32*46/1000000</f>
        <v>7.0655999999999997E-2</v>
      </c>
    </row>
    <row r="46" spans="1:15" s="47" customFormat="1" ht="18" customHeight="1" thickBot="1" x14ac:dyDescent="0.3">
      <c r="B46" s="84" t="s">
        <v>103</v>
      </c>
      <c r="C46" s="76">
        <v>30</v>
      </c>
      <c r="D46" s="77">
        <f t="shared" si="0"/>
        <v>40</v>
      </c>
      <c r="E46" s="76">
        <v>54</v>
      </c>
      <c r="F46" s="77">
        <v>88</v>
      </c>
      <c r="G46" s="92" t="s">
        <v>91</v>
      </c>
      <c r="H46" s="192"/>
      <c r="I46" s="186">
        <v>851.09182704</v>
      </c>
      <c r="J46" s="253"/>
      <c r="K46" s="85">
        <v>3412.7401633919999</v>
      </c>
      <c r="L46" s="76" t="s">
        <v>24</v>
      </c>
      <c r="M46" s="81">
        <v>2900</v>
      </c>
      <c r="N46" s="81">
        <v>90</v>
      </c>
      <c r="O46" s="82">
        <v>0.128</v>
      </c>
    </row>
    <row r="47" spans="1:15" s="47" customFormat="1" ht="18" customHeight="1" thickBot="1" x14ac:dyDescent="0.3">
      <c r="B47" s="84" t="s">
        <v>104</v>
      </c>
      <c r="C47" s="76">
        <v>37</v>
      </c>
      <c r="D47" s="77">
        <v>50</v>
      </c>
      <c r="E47" s="76">
        <v>54</v>
      </c>
      <c r="F47" s="77">
        <v>105</v>
      </c>
      <c r="G47" s="92" t="s">
        <v>91</v>
      </c>
      <c r="H47" s="192"/>
      <c r="I47" s="227" t="s">
        <v>28</v>
      </c>
      <c r="J47" s="231"/>
      <c r="K47" s="107" t="s">
        <v>28</v>
      </c>
      <c r="L47" s="76" t="s">
        <v>24</v>
      </c>
      <c r="M47" s="81">
        <v>2900</v>
      </c>
      <c r="N47" s="81">
        <v>90</v>
      </c>
      <c r="O47" s="82">
        <v>0.128</v>
      </c>
    </row>
    <row r="48" spans="1:15" s="47" customFormat="1" ht="18" customHeight="1" thickBot="1" x14ac:dyDescent="0.3">
      <c r="B48" s="84" t="s">
        <v>105</v>
      </c>
      <c r="C48" s="76">
        <v>45</v>
      </c>
      <c r="D48" s="77">
        <v>60</v>
      </c>
      <c r="E48" s="76">
        <v>54</v>
      </c>
      <c r="F48" s="77">
        <v>123</v>
      </c>
      <c r="G48" s="92" t="s">
        <v>91</v>
      </c>
      <c r="H48" s="192"/>
      <c r="I48" s="227" t="s">
        <v>28</v>
      </c>
      <c r="J48" s="231"/>
      <c r="K48" s="107" t="s">
        <v>28</v>
      </c>
      <c r="L48" s="76" t="s">
        <v>24</v>
      </c>
      <c r="M48" s="81">
        <v>2900</v>
      </c>
      <c r="N48" s="81">
        <v>90</v>
      </c>
      <c r="O48" s="82">
        <v>0.128</v>
      </c>
    </row>
    <row r="49" spans="1:15" s="47" customFormat="1" ht="18" customHeight="1" thickBot="1" x14ac:dyDescent="0.3">
      <c r="B49" s="84" t="s">
        <v>106</v>
      </c>
      <c r="C49" s="76">
        <v>55</v>
      </c>
      <c r="D49" s="77">
        <v>75</v>
      </c>
      <c r="E49" s="76">
        <v>54</v>
      </c>
      <c r="F49" s="77">
        <v>137</v>
      </c>
      <c r="G49" s="92" t="s">
        <v>91</v>
      </c>
      <c r="H49" s="192"/>
      <c r="I49" s="227" t="s">
        <v>28</v>
      </c>
      <c r="J49" s="231"/>
      <c r="K49" s="107" t="s">
        <v>28</v>
      </c>
      <c r="L49" s="76" t="s">
        <v>24</v>
      </c>
      <c r="M49" s="81">
        <v>2900</v>
      </c>
      <c r="N49" s="81">
        <v>90</v>
      </c>
      <c r="O49" s="82">
        <v>0.128</v>
      </c>
    </row>
    <row r="50" spans="1:15" s="47" customFormat="1" ht="18" customHeight="1" thickBot="1" x14ac:dyDescent="0.3">
      <c r="B50" s="84" t="s">
        <v>107</v>
      </c>
      <c r="C50" s="76">
        <v>75</v>
      </c>
      <c r="D50" s="77">
        <v>100</v>
      </c>
      <c r="E50" s="76">
        <v>54</v>
      </c>
      <c r="F50" s="77">
        <v>155</v>
      </c>
      <c r="G50" s="92" t="s">
        <v>91</v>
      </c>
      <c r="H50" s="192"/>
      <c r="I50" s="227" t="s">
        <v>28</v>
      </c>
      <c r="J50" s="231"/>
      <c r="K50" s="107" t="s">
        <v>28</v>
      </c>
      <c r="L50" s="76" t="s">
        <v>24</v>
      </c>
      <c r="M50" s="81">
        <v>2900</v>
      </c>
      <c r="N50" s="81">
        <v>90</v>
      </c>
      <c r="O50" s="82">
        <v>0.128</v>
      </c>
    </row>
    <row r="51" spans="1:15" s="47" customFormat="1" ht="18" customHeight="1" thickBot="1" x14ac:dyDescent="0.3">
      <c r="B51" s="84" t="s">
        <v>108</v>
      </c>
      <c r="C51" s="76">
        <v>4</v>
      </c>
      <c r="D51" s="77">
        <v>5.5</v>
      </c>
      <c r="E51" s="76">
        <v>54</v>
      </c>
      <c r="F51" s="77">
        <v>16.8</v>
      </c>
      <c r="G51" s="92" t="s">
        <v>109</v>
      </c>
      <c r="H51" s="192"/>
      <c r="I51" s="186">
        <v>443.00420740800001</v>
      </c>
      <c r="J51" s="253"/>
      <c r="K51" s="85">
        <v>997.34957481599986</v>
      </c>
      <c r="L51" s="76" t="s">
        <v>24</v>
      </c>
      <c r="M51" s="81">
        <v>2900</v>
      </c>
      <c r="N51" s="81">
        <v>42</v>
      </c>
      <c r="O51" s="82">
        <f>0.48*0.3*0.38</f>
        <v>5.4719999999999998E-2</v>
      </c>
    </row>
    <row r="52" spans="1:15" s="47" customFormat="1" ht="18" customHeight="1" thickBot="1" x14ac:dyDescent="0.3">
      <c r="B52" s="84" t="s">
        <v>110</v>
      </c>
      <c r="C52" s="76">
        <v>5.5</v>
      </c>
      <c r="D52" s="77">
        <v>7.5</v>
      </c>
      <c r="E52" s="76">
        <v>72</v>
      </c>
      <c r="F52" s="77">
        <v>19</v>
      </c>
      <c r="G52" s="92" t="s">
        <v>109</v>
      </c>
      <c r="H52" s="192"/>
      <c r="I52" s="186">
        <v>444.874738896</v>
      </c>
      <c r="J52" s="253"/>
      <c r="K52" s="85">
        <v>1162.4017104</v>
      </c>
      <c r="L52" s="76" t="s">
        <v>24</v>
      </c>
      <c r="M52" s="81">
        <v>2900</v>
      </c>
      <c r="N52" s="81">
        <v>42</v>
      </c>
      <c r="O52" s="82">
        <f>0.48*0.3*0.38</f>
        <v>5.4719999999999998E-2</v>
      </c>
    </row>
    <row r="53" spans="1:15" s="47" customFormat="1" ht="18" customHeight="1" thickBot="1" x14ac:dyDescent="0.3">
      <c r="B53" s="84" t="s">
        <v>111</v>
      </c>
      <c r="C53" s="76">
        <v>7.5</v>
      </c>
      <c r="D53" s="77">
        <f>C53/0.75</f>
        <v>10</v>
      </c>
      <c r="E53" s="76">
        <v>72</v>
      </c>
      <c r="F53" s="77">
        <v>24.5</v>
      </c>
      <c r="G53" s="92" t="s">
        <v>109</v>
      </c>
      <c r="H53" s="192"/>
      <c r="I53" s="186">
        <v>447.05702563199998</v>
      </c>
      <c r="J53" s="253"/>
      <c r="K53" s="85">
        <v>1198.3871733120002</v>
      </c>
      <c r="L53" s="76" t="s">
        <v>24</v>
      </c>
      <c r="M53" s="81">
        <v>2900</v>
      </c>
      <c r="N53" s="81">
        <v>42</v>
      </c>
      <c r="O53" s="82">
        <f>0.48*0.3*0.38</f>
        <v>5.4719999999999998E-2</v>
      </c>
    </row>
    <row r="54" spans="1:15" s="47" customFormat="1" ht="18" customHeight="1" thickBot="1" x14ac:dyDescent="0.3">
      <c r="B54" s="84" t="s">
        <v>112</v>
      </c>
      <c r="C54" s="76">
        <v>9.1999999999999993</v>
      </c>
      <c r="D54" s="77">
        <v>12.5</v>
      </c>
      <c r="E54" s="76">
        <v>84</v>
      </c>
      <c r="F54" s="77">
        <v>28</v>
      </c>
      <c r="G54" s="92" t="s">
        <v>109</v>
      </c>
      <c r="H54" s="192"/>
      <c r="I54" s="186">
        <v>544.63641825599996</v>
      </c>
      <c r="J54" s="253"/>
      <c r="K54" s="85">
        <v>1657.8698723999996</v>
      </c>
      <c r="L54" s="76" t="s">
        <v>24</v>
      </c>
      <c r="M54" s="81">
        <v>2900</v>
      </c>
      <c r="N54" s="81">
        <v>45</v>
      </c>
      <c r="O54" s="82">
        <f>0.48*0.3*0.42</f>
        <v>6.0479999999999992E-2</v>
      </c>
    </row>
    <row r="55" spans="1:15" s="47" customFormat="1" ht="18" customHeight="1" thickBot="1" x14ac:dyDescent="0.3">
      <c r="B55" s="84" t="s">
        <v>113</v>
      </c>
      <c r="C55" s="76">
        <v>11</v>
      </c>
      <c r="D55" s="77">
        <v>15</v>
      </c>
      <c r="E55" s="76">
        <v>84</v>
      </c>
      <c r="F55" s="77">
        <v>31.5</v>
      </c>
      <c r="G55" s="92" t="s">
        <v>109</v>
      </c>
      <c r="H55" s="192"/>
      <c r="I55" s="186">
        <v>547.44221548799999</v>
      </c>
      <c r="J55" s="253"/>
      <c r="K55" s="85">
        <v>1838.6433797759998</v>
      </c>
      <c r="L55" s="76" t="s">
        <v>24</v>
      </c>
      <c r="M55" s="81">
        <v>2900</v>
      </c>
      <c r="N55" s="81">
        <v>45</v>
      </c>
      <c r="O55" s="82">
        <f>0.48*0.3*0.42</f>
        <v>6.0479999999999992E-2</v>
      </c>
    </row>
    <row r="56" spans="1:15" s="47" customFormat="1" ht="18" customHeight="1" thickBot="1" x14ac:dyDescent="0.3">
      <c r="B56" s="84" t="s">
        <v>114</v>
      </c>
      <c r="C56" s="76">
        <v>15</v>
      </c>
      <c r="D56" s="77">
        <f>C56/0.75</f>
        <v>20</v>
      </c>
      <c r="E56" s="76">
        <v>84</v>
      </c>
      <c r="F56" s="77">
        <v>38.5</v>
      </c>
      <c r="G56" s="92" t="s">
        <v>109</v>
      </c>
      <c r="H56" s="192"/>
      <c r="I56" s="186">
        <v>549.93625747199997</v>
      </c>
      <c r="J56" s="253"/>
      <c r="K56" s="85">
        <v>1924.4206094399999</v>
      </c>
      <c r="L56" s="76" t="s">
        <v>24</v>
      </c>
      <c r="M56" s="81">
        <v>2900</v>
      </c>
      <c r="N56" s="81">
        <v>45</v>
      </c>
      <c r="O56" s="82">
        <f>0.48*0.3*0.42</f>
        <v>6.0479999999999992E-2</v>
      </c>
    </row>
    <row r="57" spans="1:15" s="47" customFormat="1" ht="18" customHeight="1" thickBot="1" x14ac:dyDescent="0.3">
      <c r="B57" s="84" t="s">
        <v>115</v>
      </c>
      <c r="C57" s="76">
        <v>15</v>
      </c>
      <c r="D57" s="77">
        <f>C57/0.75</f>
        <v>20</v>
      </c>
      <c r="E57" s="76">
        <v>84</v>
      </c>
      <c r="F57" s="77">
        <v>41</v>
      </c>
      <c r="G57" s="92" t="s">
        <v>109</v>
      </c>
      <c r="H57" s="192"/>
      <c r="I57" s="186">
        <v>587.34688723199997</v>
      </c>
      <c r="J57" s="253"/>
      <c r="K57" s="85">
        <v>1962.9446507999996</v>
      </c>
      <c r="L57" s="76" t="s">
        <v>24</v>
      </c>
      <c r="M57" s="81">
        <v>2900</v>
      </c>
      <c r="N57" s="81">
        <v>50</v>
      </c>
      <c r="O57" s="82">
        <f>48*34*42/1000000</f>
        <v>6.8543999999999994E-2</v>
      </c>
    </row>
    <row r="58" spans="1:15" s="47" customFormat="1" ht="18" customHeight="1" thickBot="1" x14ac:dyDescent="0.3">
      <c r="B58" s="84" t="s">
        <v>116</v>
      </c>
      <c r="C58" s="76">
        <v>18.5</v>
      </c>
      <c r="D58" s="77">
        <v>25</v>
      </c>
      <c r="E58" s="76">
        <v>84</v>
      </c>
      <c r="F58" s="77">
        <v>49</v>
      </c>
      <c r="G58" s="92" t="s">
        <v>109</v>
      </c>
      <c r="H58" s="192"/>
      <c r="I58" s="186">
        <v>590.46443971200006</v>
      </c>
      <c r="J58" s="253"/>
      <c r="K58" s="85">
        <v>2118.0206184479998</v>
      </c>
      <c r="L58" s="76" t="s">
        <v>24</v>
      </c>
      <c r="M58" s="81">
        <v>2900</v>
      </c>
      <c r="N58" s="81">
        <v>50</v>
      </c>
      <c r="O58" s="82">
        <f>48*34*42/1000000</f>
        <v>6.8543999999999994E-2</v>
      </c>
    </row>
    <row r="59" spans="1:15" s="47" customFormat="1" ht="18" customHeight="1" thickBot="1" x14ac:dyDescent="0.3">
      <c r="B59" s="84" t="s">
        <v>117</v>
      </c>
      <c r="C59" s="76">
        <v>22</v>
      </c>
      <c r="D59" s="77">
        <v>30</v>
      </c>
      <c r="E59" s="76">
        <v>90</v>
      </c>
      <c r="F59" s="77">
        <v>55</v>
      </c>
      <c r="G59" s="92" t="s">
        <v>109</v>
      </c>
      <c r="H59" s="192"/>
      <c r="I59" s="186">
        <v>593.89374743999997</v>
      </c>
      <c r="J59" s="253"/>
      <c r="K59" s="85">
        <v>2510.7431579999998</v>
      </c>
      <c r="L59" s="76" t="s">
        <v>24</v>
      </c>
      <c r="M59" s="81">
        <v>2900</v>
      </c>
      <c r="N59" s="81">
        <v>50</v>
      </c>
      <c r="O59" s="82">
        <f>48*34*42/1000000</f>
        <v>6.8543999999999994E-2</v>
      </c>
    </row>
    <row r="60" spans="1:15" s="47" customFormat="1" ht="18" customHeight="1" thickTop="1" thickBot="1" x14ac:dyDescent="0.3">
      <c r="A60" s="62"/>
      <c r="B60" s="108" t="s">
        <v>118</v>
      </c>
      <c r="C60" s="109">
        <v>22</v>
      </c>
      <c r="D60" s="110">
        <v>30</v>
      </c>
      <c r="E60" s="109">
        <v>90</v>
      </c>
      <c r="F60" s="110">
        <v>58.5</v>
      </c>
      <c r="G60" s="111" t="s">
        <v>109</v>
      </c>
      <c r="H60" s="261"/>
      <c r="I60" s="186">
        <v>615.40485955199995</v>
      </c>
      <c r="J60" s="253"/>
      <c r="K60" s="85">
        <v>2529.6711551999997</v>
      </c>
      <c r="L60" s="76" t="s">
        <v>24</v>
      </c>
      <c r="M60" s="81">
        <v>2900</v>
      </c>
      <c r="N60" s="81">
        <v>71</v>
      </c>
      <c r="O60" s="82">
        <f>59*36*50/1000000</f>
        <v>0.1062</v>
      </c>
    </row>
    <row r="61" spans="1:15" s="47" customFormat="1" ht="18" customHeight="1" thickBot="1" x14ac:dyDescent="0.3">
      <c r="B61" s="84" t="s">
        <v>119</v>
      </c>
      <c r="C61" s="76">
        <v>30</v>
      </c>
      <c r="D61" s="77">
        <f>C61/0.75</f>
        <v>40</v>
      </c>
      <c r="E61" s="76">
        <v>90</v>
      </c>
      <c r="F61" s="77">
        <v>74.5</v>
      </c>
      <c r="G61" s="92" t="s">
        <v>109</v>
      </c>
      <c r="H61" s="192"/>
      <c r="I61" s="186">
        <v>618.83416727999997</v>
      </c>
      <c r="J61" s="253"/>
      <c r="K61" s="85">
        <v>3183.46644672</v>
      </c>
      <c r="L61" s="76" t="s">
        <v>24</v>
      </c>
      <c r="M61" s="81">
        <v>2900</v>
      </c>
      <c r="N61" s="81">
        <v>71</v>
      </c>
      <c r="O61" s="82">
        <f>59*36*50/1000000</f>
        <v>0.1062</v>
      </c>
    </row>
    <row r="62" spans="1:15" s="47" customFormat="1" ht="18" customHeight="1" thickBot="1" x14ac:dyDescent="0.3">
      <c r="B62" s="84" t="s">
        <v>120</v>
      </c>
      <c r="C62" s="76">
        <v>37</v>
      </c>
      <c r="D62" s="77">
        <v>50</v>
      </c>
      <c r="E62" s="76">
        <v>90</v>
      </c>
      <c r="F62" s="77">
        <v>85</v>
      </c>
      <c r="G62" s="92" t="s">
        <v>109</v>
      </c>
      <c r="H62" s="192"/>
      <c r="I62" s="227" t="s">
        <v>28</v>
      </c>
      <c r="J62" s="231"/>
      <c r="K62" s="107" t="s">
        <v>28</v>
      </c>
      <c r="L62" s="76" t="s">
        <v>24</v>
      </c>
      <c r="M62" s="81">
        <v>2900</v>
      </c>
      <c r="N62" s="81">
        <v>71</v>
      </c>
      <c r="O62" s="82">
        <f>59*36*50/1000000</f>
        <v>0.1062</v>
      </c>
    </row>
    <row r="63" spans="1:15" s="47" customFormat="1" ht="18" customHeight="1" thickBot="1" x14ac:dyDescent="0.3">
      <c r="B63" s="84" t="s">
        <v>121</v>
      </c>
      <c r="C63" s="76">
        <v>45</v>
      </c>
      <c r="D63" s="77">
        <v>60</v>
      </c>
      <c r="E63" s="76">
        <v>90</v>
      </c>
      <c r="F63" s="77">
        <v>94.5</v>
      </c>
      <c r="G63" s="92" t="s">
        <v>109</v>
      </c>
      <c r="H63" s="192"/>
      <c r="I63" s="227" t="s">
        <v>28</v>
      </c>
      <c r="J63" s="231"/>
      <c r="K63" s="107" t="s">
        <v>28</v>
      </c>
      <c r="L63" s="76" t="s">
        <v>24</v>
      </c>
      <c r="M63" s="81">
        <v>2900</v>
      </c>
      <c r="N63" s="81">
        <v>118</v>
      </c>
      <c r="O63" s="82">
        <v>0.20200000000000001</v>
      </c>
    </row>
    <row r="64" spans="1:15" s="47" customFormat="1" ht="18" customHeight="1" thickBot="1" x14ac:dyDescent="0.3">
      <c r="B64" s="84" t="s">
        <v>122</v>
      </c>
      <c r="C64" s="76">
        <v>55</v>
      </c>
      <c r="D64" s="77">
        <v>75</v>
      </c>
      <c r="E64" s="76">
        <v>120</v>
      </c>
      <c r="F64" s="77">
        <v>110</v>
      </c>
      <c r="G64" s="92" t="s">
        <v>109</v>
      </c>
      <c r="H64" s="192"/>
      <c r="I64" s="227" t="s">
        <v>28</v>
      </c>
      <c r="J64" s="231"/>
      <c r="K64" s="107" t="s">
        <v>28</v>
      </c>
      <c r="L64" s="76" t="s">
        <v>24</v>
      </c>
      <c r="M64" s="81">
        <v>2900</v>
      </c>
      <c r="N64" s="81">
        <v>119</v>
      </c>
      <c r="O64" s="82">
        <v>0.20200000000000001</v>
      </c>
    </row>
    <row r="65" spans="1:15" s="47" customFormat="1" ht="18" customHeight="1" thickBot="1" x14ac:dyDescent="0.3">
      <c r="B65" s="84" t="s">
        <v>123</v>
      </c>
      <c r="C65" s="76">
        <v>75</v>
      </c>
      <c r="D65" s="77">
        <v>100</v>
      </c>
      <c r="E65" s="76">
        <v>144</v>
      </c>
      <c r="F65" s="77">
        <v>120</v>
      </c>
      <c r="G65" s="92" t="s">
        <v>109</v>
      </c>
      <c r="H65" s="192"/>
      <c r="I65" s="227" t="s">
        <v>28</v>
      </c>
      <c r="J65" s="231"/>
      <c r="K65" s="107" t="s">
        <v>28</v>
      </c>
      <c r="L65" s="76" t="s">
        <v>24</v>
      </c>
      <c r="M65" s="81">
        <v>2900</v>
      </c>
      <c r="N65" s="81">
        <v>120</v>
      </c>
      <c r="O65" s="82">
        <v>0.20200000000000001</v>
      </c>
    </row>
    <row r="66" spans="1:15" s="47" customFormat="1" ht="18" customHeight="1" thickBot="1" x14ac:dyDescent="0.3">
      <c r="B66" s="84" t="s">
        <v>124</v>
      </c>
      <c r="C66" s="76">
        <v>90</v>
      </c>
      <c r="D66" s="77">
        <v>125</v>
      </c>
      <c r="E66" s="76">
        <v>144</v>
      </c>
      <c r="F66" s="77">
        <v>130</v>
      </c>
      <c r="G66" s="92" t="s">
        <v>109</v>
      </c>
      <c r="H66" s="192"/>
      <c r="I66" s="227" t="s">
        <v>28</v>
      </c>
      <c r="J66" s="231"/>
      <c r="K66" s="107" t="s">
        <v>28</v>
      </c>
      <c r="L66" s="76" t="s">
        <v>24</v>
      </c>
      <c r="M66" s="81">
        <v>2900</v>
      </c>
      <c r="N66" s="81">
        <v>120</v>
      </c>
      <c r="O66" s="82">
        <v>0.20200000000000001</v>
      </c>
    </row>
    <row r="67" spans="1:15" s="47" customFormat="1" ht="18" customHeight="1" thickBot="1" x14ac:dyDescent="0.3">
      <c r="B67" s="84" t="s">
        <v>125</v>
      </c>
      <c r="C67" s="76">
        <v>4</v>
      </c>
      <c r="D67" s="77">
        <v>5.5</v>
      </c>
      <c r="E67" s="76">
        <v>60</v>
      </c>
      <c r="F67" s="77">
        <v>15</v>
      </c>
      <c r="G67" s="92" t="s">
        <v>126</v>
      </c>
      <c r="H67" s="192"/>
      <c r="I67" s="186">
        <v>446.43351513599998</v>
      </c>
      <c r="J67" s="253"/>
      <c r="K67" s="85">
        <v>1000.9124919359999</v>
      </c>
      <c r="L67" s="76" t="s">
        <v>24</v>
      </c>
      <c r="M67" s="81">
        <v>2900</v>
      </c>
      <c r="N67" s="81">
        <v>46</v>
      </c>
      <c r="O67" s="82">
        <f>0.48*0.3*0.42</f>
        <v>6.0479999999999992E-2</v>
      </c>
    </row>
    <row r="68" spans="1:15" s="47" customFormat="1" ht="18" customHeight="1" thickBot="1" x14ac:dyDescent="0.3">
      <c r="B68" s="84" t="s">
        <v>127</v>
      </c>
      <c r="C68" s="76">
        <v>5.5</v>
      </c>
      <c r="D68" s="77">
        <v>7.5</v>
      </c>
      <c r="E68" s="76">
        <v>90</v>
      </c>
      <c r="F68" s="77">
        <v>17.399999999999999</v>
      </c>
      <c r="G68" s="92" t="s">
        <v>126</v>
      </c>
      <c r="H68" s="192"/>
      <c r="I68" s="186">
        <v>448.61580187199996</v>
      </c>
      <c r="J68" s="253"/>
      <c r="K68" s="85">
        <v>1166.2763827679998</v>
      </c>
      <c r="L68" s="76" t="s">
        <v>24</v>
      </c>
      <c r="M68" s="81">
        <v>2900</v>
      </c>
      <c r="N68" s="81">
        <v>46</v>
      </c>
      <c r="O68" s="82">
        <f>0.48*0.3*0.42</f>
        <v>6.0479999999999992E-2</v>
      </c>
    </row>
    <row r="69" spans="1:15" s="47" customFormat="1" ht="18" customHeight="1" thickBot="1" x14ac:dyDescent="0.3">
      <c r="B69" s="84" t="s">
        <v>128</v>
      </c>
      <c r="C69" s="76">
        <v>7.5</v>
      </c>
      <c r="D69" s="77">
        <f>C69/0.75</f>
        <v>10</v>
      </c>
      <c r="E69" s="76">
        <v>90</v>
      </c>
      <c r="F69" s="77">
        <v>23</v>
      </c>
      <c r="G69" s="92" t="s">
        <v>126</v>
      </c>
      <c r="H69" s="192"/>
      <c r="I69" s="186">
        <v>450.798088608</v>
      </c>
      <c r="J69" s="253"/>
      <c r="K69" s="85">
        <v>1201.9055539679998</v>
      </c>
      <c r="L69" s="76" t="s">
        <v>24</v>
      </c>
      <c r="M69" s="81">
        <v>2900</v>
      </c>
      <c r="N69" s="81">
        <v>46</v>
      </c>
      <c r="O69" s="82">
        <f>0.48*0.3*0.42</f>
        <v>6.0479999999999992E-2</v>
      </c>
    </row>
    <row r="70" spans="1:15" s="47" customFormat="1" ht="18" customHeight="1" thickBot="1" x14ac:dyDescent="0.3">
      <c r="B70" s="84" t="s">
        <v>129</v>
      </c>
      <c r="C70" s="76">
        <v>11</v>
      </c>
      <c r="D70" s="77">
        <v>15</v>
      </c>
      <c r="E70" s="76">
        <v>90</v>
      </c>
      <c r="F70" s="77">
        <v>27.3</v>
      </c>
      <c r="G70" s="92" t="s">
        <v>126</v>
      </c>
      <c r="H70" s="192"/>
      <c r="I70" s="186">
        <v>550.87152321600001</v>
      </c>
      <c r="J70" s="253"/>
      <c r="K70" s="85">
        <v>1842.2062968959997</v>
      </c>
      <c r="L70" s="76" t="s">
        <v>24</v>
      </c>
      <c r="M70" s="81">
        <v>2900</v>
      </c>
      <c r="N70" s="81">
        <v>48</v>
      </c>
      <c r="O70" s="82">
        <f>0.5*0.37*0.48</f>
        <v>8.879999999999999E-2</v>
      </c>
    </row>
    <row r="71" spans="1:15" s="47" customFormat="1" ht="18" customHeight="1" thickBot="1" x14ac:dyDescent="0.3">
      <c r="B71" s="84" t="s">
        <v>130</v>
      </c>
      <c r="C71" s="76">
        <v>15</v>
      </c>
      <c r="D71" s="77">
        <f>C71/0.75</f>
        <v>20</v>
      </c>
      <c r="E71" s="76">
        <v>144</v>
      </c>
      <c r="F71" s="77">
        <v>27</v>
      </c>
      <c r="G71" s="92" t="s">
        <v>126</v>
      </c>
      <c r="H71" s="192"/>
      <c r="I71" s="186">
        <v>553.9890756960001</v>
      </c>
      <c r="J71" s="253"/>
      <c r="K71" s="85">
        <v>1928.5625005919997</v>
      </c>
      <c r="L71" s="76" t="s">
        <v>24</v>
      </c>
      <c r="M71" s="81">
        <v>2900</v>
      </c>
      <c r="N71" s="81">
        <v>48</v>
      </c>
      <c r="O71" s="82">
        <f>0.5*0.37*0.48</f>
        <v>8.879999999999999E-2</v>
      </c>
    </row>
    <row r="72" spans="1:15" s="47" customFormat="1" ht="18" customHeight="1" thickBot="1" x14ac:dyDescent="0.3">
      <c r="A72" s="62"/>
      <c r="B72" s="84" t="s">
        <v>131</v>
      </c>
      <c r="C72" s="76">
        <v>18.5</v>
      </c>
      <c r="D72" s="77">
        <v>25</v>
      </c>
      <c r="E72" s="76">
        <v>144</v>
      </c>
      <c r="F72" s="77">
        <v>33.6</v>
      </c>
      <c r="G72" s="92" t="s">
        <v>126</v>
      </c>
      <c r="H72" s="192"/>
      <c r="I72" s="186">
        <v>556.79487292800002</v>
      </c>
      <c r="J72" s="253"/>
      <c r="K72" s="85">
        <v>2083.326712992</v>
      </c>
      <c r="L72" s="76" t="s">
        <v>24</v>
      </c>
      <c r="M72" s="81">
        <v>2900</v>
      </c>
      <c r="N72" s="81">
        <v>48</v>
      </c>
      <c r="O72" s="82">
        <f>0.5*0.37*0.48</f>
        <v>8.879999999999999E-2</v>
      </c>
    </row>
    <row r="73" spans="1:15" s="47" customFormat="1" ht="18" customHeight="1" thickBot="1" x14ac:dyDescent="0.3">
      <c r="B73" s="84" t="s">
        <v>132</v>
      </c>
      <c r="C73" s="76">
        <v>22</v>
      </c>
      <c r="D73" s="77">
        <v>30</v>
      </c>
      <c r="E73" s="76">
        <v>144</v>
      </c>
      <c r="F73" s="77">
        <v>38.6</v>
      </c>
      <c r="G73" s="92" t="s">
        <v>126</v>
      </c>
      <c r="H73" s="192"/>
      <c r="I73" s="186">
        <v>561.78295689600009</v>
      </c>
      <c r="J73" s="253"/>
      <c r="K73" s="85">
        <v>2427.5935797120001</v>
      </c>
      <c r="L73" s="76" t="s">
        <v>24</v>
      </c>
      <c r="M73" s="81">
        <v>2900</v>
      </c>
      <c r="N73" s="81">
        <v>49</v>
      </c>
      <c r="O73" s="82">
        <f>0.5*0.37*0.48</f>
        <v>8.879999999999999E-2</v>
      </c>
    </row>
    <row r="74" spans="1:15" s="47" customFormat="1" ht="18" customHeight="1" thickBot="1" x14ac:dyDescent="0.3">
      <c r="B74" s="84" t="s">
        <v>133</v>
      </c>
      <c r="C74" s="76">
        <v>22</v>
      </c>
      <c r="D74" s="77">
        <v>30</v>
      </c>
      <c r="E74" s="76">
        <v>144</v>
      </c>
      <c r="F74" s="77">
        <v>39.200000000000003</v>
      </c>
      <c r="G74" s="92" t="s">
        <v>126</v>
      </c>
      <c r="H74" s="192"/>
      <c r="I74" s="186">
        <v>661.85639150399993</v>
      </c>
      <c r="J74" s="253"/>
      <c r="K74" s="85">
        <v>2528.7358894559993</v>
      </c>
      <c r="L74" s="76" t="s">
        <v>24</v>
      </c>
      <c r="M74" s="81">
        <v>2900</v>
      </c>
      <c r="N74" s="81">
        <v>65</v>
      </c>
      <c r="O74" s="82">
        <f>66*35*46/1000000</f>
        <v>0.10625999999999999</v>
      </c>
    </row>
    <row r="75" spans="1:15" s="47" customFormat="1" ht="18" customHeight="1" thickBot="1" x14ac:dyDescent="0.3">
      <c r="B75" s="84" t="s">
        <v>134</v>
      </c>
      <c r="C75" s="76">
        <v>30</v>
      </c>
      <c r="D75" s="77">
        <f>C75/0.75</f>
        <v>40</v>
      </c>
      <c r="E75" s="76">
        <v>144</v>
      </c>
      <c r="F75" s="77">
        <v>53.1</v>
      </c>
      <c r="G75" s="92" t="s">
        <v>126</v>
      </c>
      <c r="H75" s="192"/>
      <c r="I75" s="186">
        <v>665.28569923199996</v>
      </c>
      <c r="J75" s="253"/>
      <c r="K75" s="85">
        <v>3103.5234938399994</v>
      </c>
      <c r="L75" s="76" t="s">
        <v>24</v>
      </c>
      <c r="M75" s="81">
        <v>2900</v>
      </c>
      <c r="N75" s="81">
        <v>65</v>
      </c>
      <c r="O75" s="82">
        <f>66*35*46/1000000</f>
        <v>0.10625999999999999</v>
      </c>
    </row>
    <row r="76" spans="1:15" s="47" customFormat="1" ht="18" customHeight="1" thickBot="1" x14ac:dyDescent="0.3">
      <c r="B76" s="84" t="s">
        <v>135</v>
      </c>
      <c r="C76" s="76">
        <v>37</v>
      </c>
      <c r="D76" s="77">
        <v>50</v>
      </c>
      <c r="E76" s="76">
        <v>144</v>
      </c>
      <c r="F76" s="77">
        <v>59.3</v>
      </c>
      <c r="G76" s="92" t="s">
        <v>126</v>
      </c>
      <c r="H76" s="192"/>
      <c r="I76" s="227" t="s">
        <v>28</v>
      </c>
      <c r="J76" s="231"/>
      <c r="K76" s="107" t="s">
        <v>28</v>
      </c>
      <c r="L76" s="76" t="s">
        <v>24</v>
      </c>
      <c r="M76" s="81">
        <v>2900</v>
      </c>
      <c r="N76" s="81">
        <v>79</v>
      </c>
      <c r="O76" s="82">
        <f>66*40*54/1000000</f>
        <v>0.14255999999999999</v>
      </c>
    </row>
    <row r="77" spans="1:15" s="47" customFormat="1" ht="18" customHeight="1" thickBot="1" x14ac:dyDescent="0.3">
      <c r="B77" s="84" t="s">
        <v>136</v>
      </c>
      <c r="C77" s="76">
        <v>45</v>
      </c>
      <c r="D77" s="77">
        <f>C77/0.75</f>
        <v>60</v>
      </c>
      <c r="E77" s="76">
        <v>144</v>
      </c>
      <c r="F77" s="77">
        <v>78.5</v>
      </c>
      <c r="G77" s="92" t="s">
        <v>126</v>
      </c>
      <c r="H77" s="192"/>
      <c r="I77" s="227" t="s">
        <v>28</v>
      </c>
      <c r="J77" s="231"/>
      <c r="K77" s="107" t="s">
        <v>28</v>
      </c>
      <c r="L77" s="76" t="s">
        <v>24</v>
      </c>
      <c r="M77" s="81">
        <v>2900</v>
      </c>
      <c r="N77" s="81">
        <v>79</v>
      </c>
      <c r="O77" s="82">
        <f>66*40*54/1000000</f>
        <v>0.14255999999999999</v>
      </c>
    </row>
    <row r="78" spans="1:15" s="47" customFormat="1" ht="18" customHeight="1" thickBot="1" x14ac:dyDescent="0.3">
      <c r="B78" s="84" t="s">
        <v>137</v>
      </c>
      <c r="C78" s="76">
        <v>55</v>
      </c>
      <c r="D78" s="77">
        <v>75</v>
      </c>
      <c r="E78" s="76">
        <v>144</v>
      </c>
      <c r="F78" s="77">
        <v>87</v>
      </c>
      <c r="G78" s="92" t="s">
        <v>126</v>
      </c>
      <c r="H78" s="192"/>
      <c r="I78" s="227" t="s">
        <v>28</v>
      </c>
      <c r="J78" s="231"/>
      <c r="K78" s="107" t="s">
        <v>28</v>
      </c>
      <c r="L78" s="76" t="s">
        <v>24</v>
      </c>
      <c r="M78" s="81">
        <v>2900</v>
      </c>
      <c r="N78" s="81">
        <v>79</v>
      </c>
      <c r="O78" s="82">
        <f>66*40*54/1000000</f>
        <v>0.14255999999999999</v>
      </c>
    </row>
    <row r="79" spans="1:15" s="47" customFormat="1" ht="18" customHeight="1" thickBot="1" x14ac:dyDescent="0.3">
      <c r="B79" s="84" t="s">
        <v>138</v>
      </c>
      <c r="C79" s="76">
        <v>75</v>
      </c>
      <c r="D79" s="77">
        <v>100</v>
      </c>
      <c r="E79" s="76">
        <v>144</v>
      </c>
      <c r="F79" s="77">
        <v>101</v>
      </c>
      <c r="G79" s="92" t="s">
        <v>126</v>
      </c>
      <c r="H79" s="192"/>
      <c r="I79" s="227" t="s">
        <v>28</v>
      </c>
      <c r="J79" s="231"/>
      <c r="K79" s="107" t="s">
        <v>28</v>
      </c>
      <c r="L79" s="76" t="s">
        <v>24</v>
      </c>
      <c r="M79" s="81">
        <v>2900</v>
      </c>
      <c r="N79" s="81">
        <v>79</v>
      </c>
      <c r="O79" s="82">
        <f>66*40*54/1000000</f>
        <v>0.14255999999999999</v>
      </c>
    </row>
    <row r="80" spans="1:15" s="47" customFormat="1" ht="18" customHeight="1" thickBot="1" x14ac:dyDescent="0.3">
      <c r="B80" s="84" t="s">
        <v>139</v>
      </c>
      <c r="C80" s="76">
        <v>45</v>
      </c>
      <c r="D80" s="77">
        <f>C80/0.75</f>
        <v>60</v>
      </c>
      <c r="E80" s="76">
        <v>144</v>
      </c>
      <c r="F80" s="77">
        <v>78</v>
      </c>
      <c r="G80" s="92" t="s">
        <v>126</v>
      </c>
      <c r="H80" s="192"/>
      <c r="I80" s="227" t="s">
        <v>28</v>
      </c>
      <c r="J80" s="231"/>
      <c r="K80" s="107" t="s">
        <v>28</v>
      </c>
      <c r="L80" s="76" t="s">
        <v>24</v>
      </c>
      <c r="M80" s="81">
        <v>2900</v>
      </c>
      <c r="N80" s="81">
        <v>127</v>
      </c>
      <c r="O80" s="82">
        <v>0.217</v>
      </c>
    </row>
    <row r="81" spans="2:15" s="47" customFormat="1" ht="18" customHeight="1" thickBot="1" x14ac:dyDescent="0.3">
      <c r="B81" s="84" t="s">
        <v>140</v>
      </c>
      <c r="C81" s="76">
        <v>55</v>
      </c>
      <c r="D81" s="77">
        <v>75</v>
      </c>
      <c r="E81" s="76">
        <v>144</v>
      </c>
      <c r="F81" s="77">
        <v>91</v>
      </c>
      <c r="G81" s="92" t="s">
        <v>126</v>
      </c>
      <c r="H81" s="192"/>
      <c r="I81" s="227" t="s">
        <v>28</v>
      </c>
      <c r="J81" s="231"/>
      <c r="K81" s="107" t="s">
        <v>28</v>
      </c>
      <c r="L81" s="76" t="s">
        <v>24</v>
      </c>
      <c r="M81" s="81">
        <v>2900</v>
      </c>
      <c r="N81" s="81">
        <v>128</v>
      </c>
      <c r="O81" s="82">
        <v>0.217</v>
      </c>
    </row>
    <row r="82" spans="2:15" s="47" customFormat="1" ht="18" customHeight="1" thickBot="1" x14ac:dyDescent="0.3">
      <c r="B82" s="84" t="s">
        <v>141</v>
      </c>
      <c r="C82" s="76">
        <v>75</v>
      </c>
      <c r="D82" s="77">
        <v>100</v>
      </c>
      <c r="E82" s="76">
        <v>180</v>
      </c>
      <c r="F82" s="77">
        <v>107.3</v>
      </c>
      <c r="G82" s="92" t="s">
        <v>126</v>
      </c>
      <c r="H82" s="192"/>
      <c r="I82" s="227" t="s">
        <v>28</v>
      </c>
      <c r="J82" s="231"/>
      <c r="K82" s="107" t="s">
        <v>28</v>
      </c>
      <c r="L82" s="76" t="s">
        <v>24</v>
      </c>
      <c r="M82" s="81">
        <v>2900</v>
      </c>
      <c r="N82" s="81">
        <v>129</v>
      </c>
      <c r="O82" s="82">
        <v>0.217</v>
      </c>
    </row>
    <row r="83" spans="2:15" s="47" customFormat="1" ht="18" customHeight="1" thickBot="1" x14ac:dyDescent="0.3">
      <c r="B83" s="84" t="s">
        <v>142</v>
      </c>
      <c r="C83" s="76">
        <v>90</v>
      </c>
      <c r="D83" s="77">
        <v>125</v>
      </c>
      <c r="E83" s="76">
        <v>180</v>
      </c>
      <c r="F83" s="77">
        <v>127.3</v>
      </c>
      <c r="G83" s="92" t="s">
        <v>126</v>
      </c>
      <c r="H83" s="192"/>
      <c r="I83" s="227" t="s">
        <v>28</v>
      </c>
      <c r="J83" s="231"/>
      <c r="K83" s="107" t="s">
        <v>28</v>
      </c>
      <c r="L83" s="76" t="s">
        <v>24</v>
      </c>
      <c r="M83" s="81">
        <v>2900</v>
      </c>
      <c r="N83" s="81">
        <v>130</v>
      </c>
      <c r="O83" s="82">
        <v>0.217</v>
      </c>
    </row>
    <row r="84" spans="2:15" s="47" customFormat="1" ht="18" customHeight="1" thickBot="1" x14ac:dyDescent="0.3">
      <c r="B84" s="84" t="s">
        <v>143</v>
      </c>
      <c r="C84" s="76">
        <v>110</v>
      </c>
      <c r="D84" s="77">
        <v>150</v>
      </c>
      <c r="E84" s="76">
        <v>180</v>
      </c>
      <c r="F84" s="77">
        <v>136.30000000000001</v>
      </c>
      <c r="G84" s="92" t="s">
        <v>126</v>
      </c>
      <c r="H84" s="192"/>
      <c r="I84" s="227" t="s">
        <v>28</v>
      </c>
      <c r="J84" s="231"/>
      <c r="K84" s="107" t="s">
        <v>28</v>
      </c>
      <c r="L84" s="76" t="s">
        <v>24</v>
      </c>
      <c r="M84" s="81">
        <v>2900</v>
      </c>
      <c r="N84" s="81">
        <v>130</v>
      </c>
      <c r="O84" s="82">
        <v>0.217</v>
      </c>
    </row>
    <row r="85" spans="2:15" s="47" customFormat="1" ht="18" customHeight="1" thickBot="1" x14ac:dyDescent="0.3">
      <c r="B85" s="84" t="s">
        <v>144</v>
      </c>
      <c r="C85" s="76">
        <v>15</v>
      </c>
      <c r="D85" s="77">
        <v>20</v>
      </c>
      <c r="E85" s="76">
        <v>180</v>
      </c>
      <c r="F85" s="77">
        <v>24.5</v>
      </c>
      <c r="G85" s="92" t="s">
        <v>145</v>
      </c>
      <c r="H85" s="192"/>
      <c r="I85" s="186">
        <v>560.22418065600004</v>
      </c>
      <c r="J85" s="253"/>
      <c r="K85" s="85">
        <v>1934.975751408</v>
      </c>
      <c r="L85" s="76" t="s">
        <v>24</v>
      </c>
      <c r="M85" s="81">
        <v>2900</v>
      </c>
      <c r="N85" s="81">
        <v>60</v>
      </c>
      <c r="O85" s="82">
        <f>0.5*0.38*0.58</f>
        <v>0.11019999999999999</v>
      </c>
    </row>
    <row r="86" spans="2:15" s="47" customFormat="1" ht="18" customHeight="1" thickBot="1" x14ac:dyDescent="0.3">
      <c r="B86" s="84" t="s">
        <v>146</v>
      </c>
      <c r="C86" s="76">
        <v>18.5</v>
      </c>
      <c r="D86" s="77">
        <v>25</v>
      </c>
      <c r="E86" s="76">
        <v>180</v>
      </c>
      <c r="F86" s="77">
        <v>29</v>
      </c>
      <c r="G86" s="92" t="s">
        <v>145</v>
      </c>
      <c r="H86" s="192"/>
      <c r="I86" s="186">
        <v>563.96524363200001</v>
      </c>
      <c r="J86" s="253"/>
      <c r="K86" s="85">
        <v>2124.4338692640004</v>
      </c>
      <c r="L86" s="76" t="s">
        <v>24</v>
      </c>
      <c r="M86" s="81">
        <v>2900</v>
      </c>
      <c r="N86" s="81">
        <v>60</v>
      </c>
      <c r="O86" s="82">
        <f>0.5*0.38*0.58</f>
        <v>0.11019999999999999</v>
      </c>
    </row>
    <row r="87" spans="2:15" s="47" customFormat="1" ht="18" customHeight="1" thickBot="1" x14ac:dyDescent="0.3">
      <c r="B87" s="84" t="s">
        <v>147</v>
      </c>
      <c r="C87" s="76">
        <v>22</v>
      </c>
      <c r="D87" s="77">
        <v>30</v>
      </c>
      <c r="E87" s="76">
        <v>180</v>
      </c>
      <c r="F87" s="77">
        <v>31.5</v>
      </c>
      <c r="G87" s="92" t="s">
        <v>145</v>
      </c>
      <c r="H87" s="192"/>
      <c r="I87" s="186">
        <v>568.95332759999997</v>
      </c>
      <c r="J87" s="253"/>
      <c r="K87" s="85">
        <v>2485.3573735199998</v>
      </c>
      <c r="L87" s="76" t="s">
        <v>24</v>
      </c>
      <c r="M87" s="81">
        <v>2900</v>
      </c>
      <c r="N87" s="81">
        <v>60</v>
      </c>
      <c r="O87" s="82">
        <f>0.5*0.38*0.58</f>
        <v>0.11019999999999999</v>
      </c>
    </row>
    <row r="88" spans="2:15" s="47" customFormat="1" ht="18" customHeight="1" thickBot="1" x14ac:dyDescent="0.3">
      <c r="B88" s="84" t="s">
        <v>148</v>
      </c>
      <c r="C88" s="76">
        <v>22</v>
      </c>
      <c r="D88" s="77">
        <v>30</v>
      </c>
      <c r="E88" s="76">
        <v>200</v>
      </c>
      <c r="F88" s="77">
        <v>26.8</v>
      </c>
      <c r="G88" s="92" t="s">
        <v>145</v>
      </c>
      <c r="H88" s="192"/>
      <c r="I88" s="186">
        <v>803.08151884799986</v>
      </c>
      <c r="J88" s="253"/>
      <c r="K88" s="85">
        <v>2682.87659136</v>
      </c>
      <c r="L88" s="76" t="s">
        <v>24</v>
      </c>
      <c r="M88" s="81">
        <v>2900</v>
      </c>
      <c r="N88" s="81">
        <v>75</v>
      </c>
      <c r="O88" s="82">
        <f>66*38*54/1000000</f>
        <v>0.135432</v>
      </c>
    </row>
    <row r="89" spans="2:15" s="47" customFormat="1" ht="18" customHeight="1" thickBot="1" x14ac:dyDescent="0.3">
      <c r="B89" s="84" t="s">
        <v>149</v>
      </c>
      <c r="C89" s="76">
        <v>30</v>
      </c>
      <c r="D89" s="77">
        <v>40</v>
      </c>
      <c r="E89" s="76">
        <v>200</v>
      </c>
      <c r="F89" s="77">
        <v>34.200000000000003</v>
      </c>
      <c r="G89" s="92" t="s">
        <v>145</v>
      </c>
      <c r="H89" s="192"/>
      <c r="I89" s="186">
        <v>808.69311331199992</v>
      </c>
      <c r="J89" s="253"/>
      <c r="K89" s="85">
        <v>3217.4923052159997</v>
      </c>
      <c r="L89" s="76" t="s">
        <v>24</v>
      </c>
      <c r="M89" s="81">
        <v>2900</v>
      </c>
      <c r="N89" s="81">
        <v>75</v>
      </c>
      <c r="O89" s="82">
        <f>66*38*54/1000000</f>
        <v>0.135432</v>
      </c>
    </row>
    <row r="90" spans="2:15" s="47" customFormat="1" ht="18" customHeight="1" thickBot="1" x14ac:dyDescent="0.3">
      <c r="B90" s="84" t="s">
        <v>150</v>
      </c>
      <c r="C90" s="76">
        <v>37</v>
      </c>
      <c r="D90" s="77">
        <v>50</v>
      </c>
      <c r="E90" s="76">
        <v>200</v>
      </c>
      <c r="F90" s="77">
        <v>45</v>
      </c>
      <c r="G90" s="92" t="s">
        <v>145</v>
      </c>
      <c r="H90" s="192"/>
      <c r="I90" s="227" t="s">
        <v>28</v>
      </c>
      <c r="J90" s="231"/>
      <c r="K90" s="107" t="s">
        <v>28</v>
      </c>
      <c r="L90" s="76" t="s">
        <v>24</v>
      </c>
      <c r="M90" s="81">
        <v>2900</v>
      </c>
      <c r="N90" s="81">
        <v>75</v>
      </c>
      <c r="O90" s="82">
        <f>66*38*54/1000000</f>
        <v>0.135432</v>
      </c>
    </row>
    <row r="91" spans="2:15" s="47" customFormat="1" ht="18" customHeight="1" thickBot="1" x14ac:dyDescent="0.3">
      <c r="B91" s="84" t="s">
        <v>151</v>
      </c>
      <c r="C91" s="76">
        <v>45</v>
      </c>
      <c r="D91" s="77">
        <v>60</v>
      </c>
      <c r="E91" s="76">
        <v>200</v>
      </c>
      <c r="F91" s="77">
        <v>51</v>
      </c>
      <c r="G91" s="92" t="s">
        <v>145</v>
      </c>
      <c r="H91" s="192"/>
      <c r="I91" s="227" t="s">
        <v>28</v>
      </c>
      <c r="J91" s="231"/>
      <c r="K91" s="107" t="s">
        <v>28</v>
      </c>
      <c r="L91" s="76" t="s">
        <v>24</v>
      </c>
      <c r="M91" s="81">
        <v>2900</v>
      </c>
      <c r="N91" s="81">
        <v>75</v>
      </c>
      <c r="O91" s="82">
        <f>66*38*54/1000000</f>
        <v>0.135432</v>
      </c>
    </row>
    <row r="92" spans="2:15" s="47" customFormat="1" ht="18" customHeight="1" thickBot="1" x14ac:dyDescent="0.3">
      <c r="B92" s="84" t="s">
        <v>152</v>
      </c>
      <c r="C92" s="76">
        <v>45</v>
      </c>
      <c r="D92" s="77">
        <v>60</v>
      </c>
      <c r="E92" s="76">
        <v>200</v>
      </c>
      <c r="F92" s="77">
        <v>56</v>
      </c>
      <c r="G92" s="92" t="s">
        <v>145</v>
      </c>
      <c r="H92" s="192"/>
      <c r="I92" s="227" t="s">
        <v>28</v>
      </c>
      <c r="J92" s="231"/>
      <c r="K92" s="107" t="s">
        <v>28</v>
      </c>
      <c r="L92" s="76" t="s">
        <v>24</v>
      </c>
      <c r="M92" s="81">
        <v>2900</v>
      </c>
      <c r="N92" s="81">
        <v>88</v>
      </c>
      <c r="O92" s="82">
        <f>68*42*56/1000000</f>
        <v>0.15993599999999999</v>
      </c>
    </row>
    <row r="93" spans="2:15" s="47" customFormat="1" ht="18" customHeight="1" thickBot="1" x14ac:dyDescent="0.3">
      <c r="B93" s="84" t="s">
        <v>153</v>
      </c>
      <c r="C93" s="76">
        <v>55</v>
      </c>
      <c r="D93" s="77">
        <v>75</v>
      </c>
      <c r="E93" s="76">
        <v>200</v>
      </c>
      <c r="F93" s="77">
        <v>71.7</v>
      </c>
      <c r="G93" s="92" t="s">
        <v>145</v>
      </c>
      <c r="H93" s="192"/>
      <c r="I93" s="227" t="s">
        <v>28</v>
      </c>
      <c r="J93" s="231"/>
      <c r="K93" s="107" t="s">
        <v>28</v>
      </c>
      <c r="L93" s="76" t="s">
        <v>24</v>
      </c>
      <c r="M93" s="81">
        <v>2900</v>
      </c>
      <c r="N93" s="81">
        <v>88</v>
      </c>
      <c r="O93" s="82">
        <f>68*42*56/1000000</f>
        <v>0.15993599999999999</v>
      </c>
    </row>
    <row r="94" spans="2:15" s="47" customFormat="1" ht="18" customHeight="1" thickBot="1" x14ac:dyDescent="0.3">
      <c r="B94" s="84" t="s">
        <v>154</v>
      </c>
      <c r="C94" s="76">
        <v>75</v>
      </c>
      <c r="D94" s="77">
        <v>100</v>
      </c>
      <c r="E94" s="76">
        <v>240</v>
      </c>
      <c r="F94" s="77">
        <v>78</v>
      </c>
      <c r="G94" s="92" t="s">
        <v>145</v>
      </c>
      <c r="H94" s="192"/>
      <c r="I94" s="227" t="s">
        <v>28</v>
      </c>
      <c r="J94" s="231"/>
      <c r="K94" s="107" t="s">
        <v>28</v>
      </c>
      <c r="L94" s="76" t="s">
        <v>24</v>
      </c>
      <c r="M94" s="81">
        <v>2900</v>
      </c>
      <c r="N94" s="81">
        <v>88</v>
      </c>
      <c r="O94" s="82">
        <f>68*42*56/1000000</f>
        <v>0.15993599999999999</v>
      </c>
    </row>
    <row r="95" spans="2:15" s="47" customFormat="1" ht="18" customHeight="1" thickBot="1" x14ac:dyDescent="0.3">
      <c r="B95" s="84" t="s">
        <v>155</v>
      </c>
      <c r="C95" s="76">
        <v>90</v>
      </c>
      <c r="D95" s="77">
        <v>125</v>
      </c>
      <c r="E95" s="76">
        <v>240</v>
      </c>
      <c r="F95" s="77">
        <v>87</v>
      </c>
      <c r="G95" s="92" t="s">
        <v>145</v>
      </c>
      <c r="H95" s="192"/>
      <c r="I95" s="227" t="s">
        <v>28</v>
      </c>
      <c r="J95" s="231"/>
      <c r="K95" s="107" t="s">
        <v>28</v>
      </c>
      <c r="L95" s="76" t="s">
        <v>24</v>
      </c>
      <c r="M95" s="81">
        <v>2900</v>
      </c>
      <c r="N95" s="81">
        <v>88</v>
      </c>
      <c r="O95" s="82">
        <f>68*42*56/1000000</f>
        <v>0.15993599999999999</v>
      </c>
    </row>
    <row r="96" spans="2:15" s="47" customFormat="1" ht="18" customHeight="1" thickBot="1" x14ac:dyDescent="0.3">
      <c r="B96" s="84" t="s">
        <v>156</v>
      </c>
      <c r="C96" s="76">
        <v>75</v>
      </c>
      <c r="D96" s="77">
        <v>100</v>
      </c>
      <c r="E96" s="76">
        <v>240</v>
      </c>
      <c r="F96" s="77">
        <v>70.7</v>
      </c>
      <c r="G96" s="92" t="s">
        <v>145</v>
      </c>
      <c r="H96" s="192"/>
      <c r="I96" s="227" t="s">
        <v>28</v>
      </c>
      <c r="J96" s="231"/>
      <c r="K96" s="107" t="s">
        <v>28</v>
      </c>
      <c r="L96" s="76" t="s">
        <v>24</v>
      </c>
      <c r="M96" s="81">
        <v>2900</v>
      </c>
      <c r="N96" s="81">
        <v>158</v>
      </c>
      <c r="O96" s="82">
        <v>0.26100000000000001</v>
      </c>
    </row>
    <row r="97" spans="2:15" s="47" customFormat="1" ht="18" customHeight="1" thickBot="1" x14ac:dyDescent="0.3">
      <c r="B97" s="84" t="s">
        <v>157</v>
      </c>
      <c r="C97" s="76">
        <v>90</v>
      </c>
      <c r="D97" s="77">
        <v>125</v>
      </c>
      <c r="E97" s="76">
        <v>240</v>
      </c>
      <c r="F97" s="77">
        <v>90.7</v>
      </c>
      <c r="G97" s="92" t="s">
        <v>145</v>
      </c>
      <c r="H97" s="192"/>
      <c r="I97" s="227" t="s">
        <v>28</v>
      </c>
      <c r="J97" s="231"/>
      <c r="K97" s="107" t="s">
        <v>28</v>
      </c>
      <c r="L97" s="76" t="s">
        <v>24</v>
      </c>
      <c r="M97" s="81">
        <v>2900</v>
      </c>
      <c r="N97" s="81">
        <v>159</v>
      </c>
      <c r="O97" s="82">
        <v>0.26100000000000001</v>
      </c>
    </row>
    <row r="98" spans="2:15" s="47" customFormat="1" ht="18" customHeight="1" thickBot="1" x14ac:dyDescent="0.3">
      <c r="B98" s="84" t="s">
        <v>158</v>
      </c>
      <c r="C98" s="76">
        <v>110</v>
      </c>
      <c r="D98" s="77">
        <v>150</v>
      </c>
      <c r="E98" s="76">
        <v>240</v>
      </c>
      <c r="F98" s="77">
        <v>108.7</v>
      </c>
      <c r="G98" s="92" t="s">
        <v>145</v>
      </c>
      <c r="H98" s="192"/>
      <c r="I98" s="227" t="s">
        <v>28</v>
      </c>
      <c r="J98" s="231"/>
      <c r="K98" s="107" t="s">
        <v>28</v>
      </c>
      <c r="L98" s="76" t="s">
        <v>24</v>
      </c>
      <c r="M98" s="81">
        <v>2900</v>
      </c>
      <c r="N98" s="81">
        <v>160</v>
      </c>
      <c r="O98" s="82">
        <v>0.26100000000000001</v>
      </c>
    </row>
    <row r="99" spans="2:15" s="47" customFormat="1" ht="18" customHeight="1" thickBot="1" x14ac:dyDescent="0.3">
      <c r="B99" s="84" t="s">
        <v>159</v>
      </c>
      <c r="C99" s="76">
        <v>132</v>
      </c>
      <c r="D99" s="77">
        <v>180</v>
      </c>
      <c r="E99" s="76">
        <v>240</v>
      </c>
      <c r="F99" s="77">
        <v>119.7</v>
      </c>
      <c r="G99" s="92" t="s">
        <v>145</v>
      </c>
      <c r="H99" s="192"/>
      <c r="I99" s="227" t="s">
        <v>28</v>
      </c>
      <c r="J99" s="231"/>
      <c r="K99" s="107" t="s">
        <v>28</v>
      </c>
      <c r="L99" s="76" t="s">
        <v>24</v>
      </c>
      <c r="M99" s="81">
        <v>2900</v>
      </c>
      <c r="N99" s="81">
        <v>161</v>
      </c>
      <c r="O99" s="82">
        <v>0.26100000000000001</v>
      </c>
    </row>
    <row r="100" spans="2:15" s="47" customFormat="1" ht="18" customHeight="1" thickBot="1" x14ac:dyDescent="0.3">
      <c r="B100" s="84" t="s">
        <v>160</v>
      </c>
      <c r="C100" s="76">
        <v>160</v>
      </c>
      <c r="D100" s="77">
        <v>220</v>
      </c>
      <c r="E100" s="76">
        <v>240</v>
      </c>
      <c r="F100" s="77">
        <v>138.69999999999999</v>
      </c>
      <c r="G100" s="92" t="s">
        <v>145</v>
      </c>
      <c r="H100" s="192"/>
      <c r="I100" s="227" t="s">
        <v>28</v>
      </c>
      <c r="J100" s="231"/>
      <c r="K100" s="107" t="s">
        <v>28</v>
      </c>
      <c r="L100" s="76" t="s">
        <v>24</v>
      </c>
      <c r="M100" s="81">
        <v>2900</v>
      </c>
      <c r="N100" s="81">
        <v>161</v>
      </c>
      <c r="O100" s="82">
        <v>0.26100000000000001</v>
      </c>
    </row>
    <row r="101" spans="2:15" s="47" customFormat="1" ht="18" customHeight="1" thickBot="1" x14ac:dyDescent="0.3">
      <c r="B101" s="84" t="s">
        <v>161</v>
      </c>
      <c r="C101" s="76">
        <v>45</v>
      </c>
      <c r="D101" s="77">
        <v>60</v>
      </c>
      <c r="E101" s="76">
        <v>280</v>
      </c>
      <c r="F101" s="77">
        <v>35</v>
      </c>
      <c r="G101" s="92" t="s">
        <v>162</v>
      </c>
      <c r="H101" s="192"/>
      <c r="I101" s="227" t="s">
        <v>28</v>
      </c>
      <c r="J101" s="231"/>
      <c r="K101" s="107" t="s">
        <v>28</v>
      </c>
      <c r="L101" s="76" t="s">
        <v>24</v>
      </c>
      <c r="M101" s="81">
        <v>2900</v>
      </c>
      <c r="N101" s="81">
        <v>112</v>
      </c>
      <c r="O101" s="82">
        <f>0.63*0.48*0.67</f>
        <v>0.20260800000000001</v>
      </c>
    </row>
    <row r="102" spans="2:15" s="47" customFormat="1" ht="18" customHeight="1" thickBot="1" x14ac:dyDescent="0.3">
      <c r="B102" s="84" t="s">
        <v>163</v>
      </c>
      <c r="C102" s="76">
        <v>55</v>
      </c>
      <c r="D102" s="77">
        <v>75</v>
      </c>
      <c r="E102" s="76">
        <v>280</v>
      </c>
      <c r="F102" s="77">
        <v>45</v>
      </c>
      <c r="G102" s="92" t="s">
        <v>162</v>
      </c>
      <c r="H102" s="192"/>
      <c r="I102" s="227" t="s">
        <v>28</v>
      </c>
      <c r="J102" s="231"/>
      <c r="K102" s="107" t="s">
        <v>28</v>
      </c>
      <c r="L102" s="76" t="s">
        <v>24</v>
      </c>
      <c r="M102" s="81">
        <v>2900</v>
      </c>
      <c r="N102" s="81">
        <v>113</v>
      </c>
      <c r="O102" s="82">
        <f>0.63*0.48*0.67</f>
        <v>0.20260800000000001</v>
      </c>
    </row>
    <row r="103" spans="2:15" s="47" customFormat="1" ht="18" customHeight="1" thickBot="1" x14ac:dyDescent="0.3">
      <c r="B103" s="84" t="s">
        <v>164</v>
      </c>
      <c r="C103" s="76">
        <v>75</v>
      </c>
      <c r="D103" s="77">
        <v>100</v>
      </c>
      <c r="E103" s="76">
        <v>280</v>
      </c>
      <c r="F103" s="77">
        <v>56</v>
      </c>
      <c r="G103" s="92" t="s">
        <v>162</v>
      </c>
      <c r="H103" s="192"/>
      <c r="I103" s="227" t="s">
        <v>28</v>
      </c>
      <c r="J103" s="231"/>
      <c r="K103" s="107" t="s">
        <v>28</v>
      </c>
      <c r="L103" s="76" t="s">
        <v>24</v>
      </c>
      <c r="M103" s="81">
        <v>2900</v>
      </c>
      <c r="N103" s="81">
        <v>114</v>
      </c>
      <c r="O103" s="82">
        <f>0.63*0.48*0.67</f>
        <v>0.20260800000000001</v>
      </c>
    </row>
    <row r="104" spans="2:15" s="47" customFormat="1" ht="18" customHeight="1" thickBot="1" x14ac:dyDescent="0.3">
      <c r="B104" s="84" t="s">
        <v>165</v>
      </c>
      <c r="C104" s="76">
        <v>55</v>
      </c>
      <c r="D104" s="77">
        <v>75</v>
      </c>
      <c r="E104" s="76">
        <v>200</v>
      </c>
      <c r="F104" s="77">
        <v>63</v>
      </c>
      <c r="G104" s="92" t="s">
        <v>162</v>
      </c>
      <c r="H104" s="192"/>
      <c r="I104" s="227" t="s">
        <v>28</v>
      </c>
      <c r="J104" s="231"/>
      <c r="K104" s="107" t="s">
        <v>28</v>
      </c>
      <c r="L104" s="76" t="s">
        <v>24</v>
      </c>
      <c r="M104" s="81">
        <v>2900</v>
      </c>
      <c r="N104" s="81">
        <v>142</v>
      </c>
      <c r="O104" s="82">
        <f>0.65*0.49*0.71</f>
        <v>0.226135</v>
      </c>
    </row>
    <row r="105" spans="2:15" s="112" customFormat="1" ht="18" customHeight="1" thickBot="1" x14ac:dyDescent="0.3">
      <c r="B105" s="84" t="s">
        <v>166</v>
      </c>
      <c r="C105" s="76">
        <v>75</v>
      </c>
      <c r="D105" s="77">
        <v>100</v>
      </c>
      <c r="E105" s="76">
        <v>240</v>
      </c>
      <c r="F105" s="77">
        <v>70</v>
      </c>
      <c r="G105" s="92" t="s">
        <v>162</v>
      </c>
      <c r="H105" s="192"/>
      <c r="I105" s="227" t="s">
        <v>28</v>
      </c>
      <c r="J105" s="231"/>
      <c r="K105" s="107" t="s">
        <v>28</v>
      </c>
      <c r="L105" s="76" t="s">
        <v>24</v>
      </c>
      <c r="M105" s="81">
        <v>2900</v>
      </c>
      <c r="N105" s="81">
        <v>143</v>
      </c>
      <c r="O105" s="82">
        <f>0.65*0.49*0.71</f>
        <v>0.226135</v>
      </c>
    </row>
    <row r="106" spans="2:15" s="47" customFormat="1" ht="18" customHeight="1" thickBot="1" x14ac:dyDescent="0.3">
      <c r="B106" s="84" t="s">
        <v>167</v>
      </c>
      <c r="C106" s="76">
        <v>90</v>
      </c>
      <c r="D106" s="77">
        <v>125</v>
      </c>
      <c r="E106" s="76">
        <v>280</v>
      </c>
      <c r="F106" s="77">
        <v>73.5</v>
      </c>
      <c r="G106" s="92" t="s">
        <v>162</v>
      </c>
      <c r="H106" s="192"/>
      <c r="I106" s="227" t="s">
        <v>28</v>
      </c>
      <c r="J106" s="231"/>
      <c r="K106" s="107" t="s">
        <v>28</v>
      </c>
      <c r="L106" s="76" t="s">
        <v>24</v>
      </c>
      <c r="M106" s="81">
        <v>2900</v>
      </c>
      <c r="N106" s="81">
        <v>144</v>
      </c>
      <c r="O106" s="82">
        <f>0.65*0.49*0.71</f>
        <v>0.226135</v>
      </c>
    </row>
    <row r="107" spans="2:15" s="112" customFormat="1" ht="18" customHeight="1" thickBot="1" x14ac:dyDescent="0.3">
      <c r="B107" s="84" t="s">
        <v>168</v>
      </c>
      <c r="C107" s="76">
        <v>110</v>
      </c>
      <c r="D107" s="77">
        <v>150</v>
      </c>
      <c r="E107" s="76">
        <v>280</v>
      </c>
      <c r="F107" s="77">
        <v>84</v>
      </c>
      <c r="G107" s="92" t="s">
        <v>162</v>
      </c>
      <c r="H107" s="192"/>
      <c r="I107" s="227" t="s">
        <v>28</v>
      </c>
      <c r="J107" s="231"/>
      <c r="K107" s="107" t="s">
        <v>28</v>
      </c>
      <c r="L107" s="76" t="s">
        <v>24</v>
      </c>
      <c r="M107" s="81">
        <v>2900</v>
      </c>
      <c r="N107" s="81">
        <v>145</v>
      </c>
      <c r="O107" s="82">
        <f>0.65*0.49*0.71</f>
        <v>0.226135</v>
      </c>
    </row>
    <row r="108" spans="2:15" s="112" customFormat="1" ht="18" customHeight="1" thickBot="1" x14ac:dyDescent="0.3">
      <c r="B108" s="84" t="s">
        <v>169</v>
      </c>
      <c r="C108" s="76">
        <v>90</v>
      </c>
      <c r="D108" s="77">
        <v>125</v>
      </c>
      <c r="E108" s="76">
        <v>300</v>
      </c>
      <c r="F108" s="77">
        <v>59.600000000000009</v>
      </c>
      <c r="G108" s="92" t="s">
        <v>162</v>
      </c>
      <c r="H108" s="192"/>
      <c r="I108" s="227" t="s">
        <v>28</v>
      </c>
      <c r="J108" s="231"/>
      <c r="K108" s="107" t="s">
        <v>28</v>
      </c>
      <c r="L108" s="76" t="s">
        <v>24</v>
      </c>
      <c r="M108" s="81">
        <v>2900</v>
      </c>
      <c r="N108" s="81">
        <v>155</v>
      </c>
      <c r="O108" s="82">
        <v>0.25</v>
      </c>
    </row>
    <row r="109" spans="2:15" s="112" customFormat="1" ht="18" customHeight="1" thickBot="1" x14ac:dyDescent="0.3">
      <c r="B109" s="84" t="s">
        <v>170</v>
      </c>
      <c r="C109" s="76">
        <v>110</v>
      </c>
      <c r="D109" s="77">
        <v>150</v>
      </c>
      <c r="E109" s="76">
        <v>360</v>
      </c>
      <c r="F109" s="77">
        <v>68</v>
      </c>
      <c r="G109" s="92" t="s">
        <v>162</v>
      </c>
      <c r="H109" s="192"/>
      <c r="I109" s="227" t="s">
        <v>28</v>
      </c>
      <c r="J109" s="231"/>
      <c r="K109" s="107" t="s">
        <v>28</v>
      </c>
      <c r="L109" s="76" t="s">
        <v>24</v>
      </c>
      <c r="M109" s="81">
        <v>2900</v>
      </c>
      <c r="N109" s="81">
        <v>155</v>
      </c>
      <c r="O109" s="82">
        <v>0.25</v>
      </c>
    </row>
    <row r="110" spans="2:15" s="112" customFormat="1" ht="18" customHeight="1" thickBot="1" x14ac:dyDescent="0.3">
      <c r="B110" s="84" t="s">
        <v>171</v>
      </c>
      <c r="C110" s="76">
        <v>132</v>
      </c>
      <c r="D110" s="77">
        <v>180</v>
      </c>
      <c r="E110" s="76">
        <v>360</v>
      </c>
      <c r="F110" s="77">
        <v>78</v>
      </c>
      <c r="G110" s="92" t="s">
        <v>162</v>
      </c>
      <c r="H110" s="192"/>
      <c r="I110" s="227" t="s">
        <v>28</v>
      </c>
      <c r="J110" s="231"/>
      <c r="K110" s="107" t="s">
        <v>28</v>
      </c>
      <c r="L110" s="76" t="s">
        <v>24</v>
      </c>
      <c r="M110" s="81">
        <v>2900</v>
      </c>
      <c r="N110" s="81">
        <v>155</v>
      </c>
      <c r="O110" s="82">
        <v>0.25</v>
      </c>
    </row>
    <row r="111" spans="2:15" s="112" customFormat="1" ht="18" customHeight="1" thickBot="1" x14ac:dyDescent="0.3">
      <c r="B111" s="84" t="s">
        <v>172</v>
      </c>
      <c r="C111" s="76">
        <v>160</v>
      </c>
      <c r="D111" s="77">
        <v>220</v>
      </c>
      <c r="E111" s="76">
        <v>400</v>
      </c>
      <c r="F111" s="77">
        <v>90</v>
      </c>
      <c r="G111" s="92" t="s">
        <v>162</v>
      </c>
      <c r="H111" s="192"/>
      <c r="I111" s="227" t="s">
        <v>28</v>
      </c>
      <c r="J111" s="231"/>
      <c r="K111" s="107" t="s">
        <v>28</v>
      </c>
      <c r="L111" s="76" t="s">
        <v>24</v>
      </c>
      <c r="M111" s="81">
        <v>2900</v>
      </c>
      <c r="N111" s="81">
        <v>155</v>
      </c>
      <c r="O111" s="82">
        <v>0.25</v>
      </c>
    </row>
    <row r="112" spans="2:15" s="47" customFormat="1" ht="18" customHeight="1" thickBot="1" x14ac:dyDescent="0.3">
      <c r="B112" s="84" t="s">
        <v>173</v>
      </c>
      <c r="C112" s="76">
        <v>132</v>
      </c>
      <c r="D112" s="77">
        <v>180</v>
      </c>
      <c r="E112" s="76">
        <v>300</v>
      </c>
      <c r="F112" s="77">
        <v>93.5</v>
      </c>
      <c r="G112" s="92" t="s">
        <v>162</v>
      </c>
      <c r="H112" s="192"/>
      <c r="I112" s="227" t="s">
        <v>28</v>
      </c>
      <c r="J112" s="231"/>
      <c r="K112" s="107" t="s">
        <v>28</v>
      </c>
      <c r="L112" s="76" t="s">
        <v>24</v>
      </c>
      <c r="M112" s="81">
        <v>2900</v>
      </c>
      <c r="N112" s="81">
        <v>190</v>
      </c>
      <c r="O112" s="82">
        <v>0.30199999999999999</v>
      </c>
    </row>
    <row r="113" spans="2:15" s="112" customFormat="1" ht="18" customHeight="1" thickBot="1" x14ac:dyDescent="0.3">
      <c r="B113" s="84" t="s">
        <v>174</v>
      </c>
      <c r="C113" s="76">
        <v>160</v>
      </c>
      <c r="D113" s="77">
        <v>220</v>
      </c>
      <c r="E113" s="76">
        <v>360</v>
      </c>
      <c r="F113" s="77">
        <v>107.8</v>
      </c>
      <c r="G113" s="92" t="s">
        <v>162</v>
      </c>
      <c r="H113" s="192"/>
      <c r="I113" s="227" t="s">
        <v>28</v>
      </c>
      <c r="J113" s="231"/>
      <c r="K113" s="107" t="s">
        <v>28</v>
      </c>
      <c r="L113" s="76" t="s">
        <v>24</v>
      </c>
      <c r="M113" s="81">
        <v>2900</v>
      </c>
      <c r="N113" s="81">
        <v>192</v>
      </c>
      <c r="O113" s="82">
        <v>0.30199999999999999</v>
      </c>
    </row>
    <row r="114" spans="2:15" s="112" customFormat="1" ht="18" customHeight="1" thickBot="1" x14ac:dyDescent="0.3">
      <c r="B114" s="84" t="s">
        <v>175</v>
      </c>
      <c r="C114" s="76">
        <v>185</v>
      </c>
      <c r="D114" s="77">
        <v>250</v>
      </c>
      <c r="E114" s="76">
        <v>360</v>
      </c>
      <c r="F114" s="77">
        <v>120.8</v>
      </c>
      <c r="G114" s="92" t="s">
        <v>162</v>
      </c>
      <c r="H114" s="192"/>
      <c r="I114" s="227" t="s">
        <v>28</v>
      </c>
      <c r="J114" s="231"/>
      <c r="K114" s="107" t="s">
        <v>28</v>
      </c>
      <c r="L114" s="76" t="s">
        <v>24</v>
      </c>
      <c r="M114" s="81">
        <v>2900</v>
      </c>
      <c r="N114" s="81">
        <v>193</v>
      </c>
      <c r="O114" s="82">
        <v>0.30199999999999999</v>
      </c>
    </row>
    <row r="115" spans="2:15" s="112" customFormat="1" ht="18" customHeight="1" thickBot="1" x14ac:dyDescent="0.3">
      <c r="B115" s="84" t="s">
        <v>176</v>
      </c>
      <c r="C115" s="76">
        <v>200</v>
      </c>
      <c r="D115" s="77">
        <v>270</v>
      </c>
      <c r="E115" s="76">
        <v>360</v>
      </c>
      <c r="F115" s="77">
        <v>131.80000000000001</v>
      </c>
      <c r="G115" s="92" t="s">
        <v>162</v>
      </c>
      <c r="H115" s="192"/>
      <c r="I115" s="227" t="s">
        <v>28</v>
      </c>
      <c r="J115" s="231"/>
      <c r="K115" s="107" t="s">
        <v>28</v>
      </c>
      <c r="L115" s="76" t="s">
        <v>24</v>
      </c>
      <c r="M115" s="81">
        <v>2900</v>
      </c>
      <c r="N115" s="81">
        <v>194</v>
      </c>
      <c r="O115" s="82">
        <v>0.30199999999999999</v>
      </c>
    </row>
    <row r="116" spans="2:15" s="47" customFormat="1" ht="18" customHeight="1" thickBot="1" x14ac:dyDescent="0.3">
      <c r="B116" s="84" t="s">
        <v>177</v>
      </c>
      <c r="C116" s="76">
        <v>75</v>
      </c>
      <c r="D116" s="77">
        <v>100</v>
      </c>
      <c r="E116" s="76">
        <v>400</v>
      </c>
      <c r="F116" s="77">
        <v>44.6</v>
      </c>
      <c r="G116" s="92" t="s">
        <v>178</v>
      </c>
      <c r="H116" s="192"/>
      <c r="I116" s="227" t="s">
        <v>28</v>
      </c>
      <c r="J116" s="231"/>
      <c r="K116" s="107" t="s">
        <v>28</v>
      </c>
      <c r="L116" s="76" t="s">
        <v>24</v>
      </c>
      <c r="M116" s="81">
        <v>2900</v>
      </c>
      <c r="N116" s="81">
        <v>166</v>
      </c>
      <c r="O116" s="82">
        <f>0.65*0.62*0.79</f>
        <v>0.31837000000000004</v>
      </c>
    </row>
    <row r="117" spans="2:15" s="47" customFormat="1" ht="18" customHeight="1" thickBot="1" x14ac:dyDescent="0.3">
      <c r="B117" s="84" t="s">
        <v>179</v>
      </c>
      <c r="C117" s="76">
        <v>90</v>
      </c>
      <c r="D117" s="77">
        <v>125</v>
      </c>
      <c r="E117" s="76">
        <v>500</v>
      </c>
      <c r="F117" s="77">
        <v>48</v>
      </c>
      <c r="G117" s="92" t="s">
        <v>178</v>
      </c>
      <c r="H117" s="192"/>
      <c r="I117" s="227" t="s">
        <v>28</v>
      </c>
      <c r="J117" s="231"/>
      <c r="K117" s="107" t="s">
        <v>28</v>
      </c>
      <c r="L117" s="76" t="s">
        <v>24</v>
      </c>
      <c r="M117" s="81">
        <v>2900</v>
      </c>
      <c r="N117" s="81">
        <v>167</v>
      </c>
      <c r="O117" s="82">
        <f>0.65*0.62*0.79</f>
        <v>0.31837000000000004</v>
      </c>
    </row>
    <row r="118" spans="2:15" s="47" customFormat="1" ht="18" customHeight="1" thickBot="1" x14ac:dyDescent="0.3">
      <c r="B118" s="84" t="s">
        <v>180</v>
      </c>
      <c r="C118" s="76">
        <v>110</v>
      </c>
      <c r="D118" s="77">
        <v>150</v>
      </c>
      <c r="E118" s="76">
        <v>500</v>
      </c>
      <c r="F118" s="77">
        <v>57.2</v>
      </c>
      <c r="G118" s="92" t="s">
        <v>178</v>
      </c>
      <c r="H118" s="192"/>
      <c r="I118" s="227" t="s">
        <v>28</v>
      </c>
      <c r="J118" s="231"/>
      <c r="K118" s="107" t="s">
        <v>28</v>
      </c>
      <c r="L118" s="76" t="s">
        <v>24</v>
      </c>
      <c r="M118" s="81">
        <v>2900</v>
      </c>
      <c r="N118" s="81">
        <v>168</v>
      </c>
      <c r="O118" s="82">
        <f>0.65*0.62*0.79</f>
        <v>0.31837000000000004</v>
      </c>
    </row>
    <row r="119" spans="2:15" s="47" customFormat="1" ht="18" customHeight="1" thickBot="1" x14ac:dyDescent="0.3">
      <c r="B119" s="84" t="s">
        <v>181</v>
      </c>
      <c r="C119" s="76">
        <v>132</v>
      </c>
      <c r="D119" s="77">
        <v>180</v>
      </c>
      <c r="E119" s="76">
        <v>500</v>
      </c>
      <c r="F119" s="77">
        <v>63.2</v>
      </c>
      <c r="G119" s="92" t="s">
        <v>178</v>
      </c>
      <c r="H119" s="192"/>
      <c r="I119" s="227" t="s">
        <v>28</v>
      </c>
      <c r="J119" s="231"/>
      <c r="K119" s="107" t="s">
        <v>28</v>
      </c>
      <c r="L119" s="76" t="s">
        <v>24</v>
      </c>
      <c r="M119" s="81">
        <v>2900</v>
      </c>
      <c r="N119" s="81">
        <v>169</v>
      </c>
      <c r="O119" s="82">
        <f>0.65*0.62*0.79</f>
        <v>0.31837000000000004</v>
      </c>
    </row>
    <row r="120" spans="2:15" s="47" customFormat="1" ht="18" customHeight="1" thickBot="1" x14ac:dyDescent="0.3">
      <c r="B120" s="84" t="s">
        <v>182</v>
      </c>
      <c r="C120" s="76">
        <v>160</v>
      </c>
      <c r="D120" s="77">
        <v>220</v>
      </c>
      <c r="E120" s="76">
        <v>500</v>
      </c>
      <c r="F120" s="77">
        <v>69.2</v>
      </c>
      <c r="G120" s="92" t="s">
        <v>178</v>
      </c>
      <c r="H120" s="192"/>
      <c r="I120" s="227" t="s">
        <v>28</v>
      </c>
      <c r="J120" s="231"/>
      <c r="K120" s="107" t="s">
        <v>28</v>
      </c>
      <c r="L120" s="76" t="s">
        <v>24</v>
      </c>
      <c r="M120" s="81">
        <v>2900</v>
      </c>
      <c r="N120" s="81">
        <v>170</v>
      </c>
      <c r="O120" s="82">
        <f>0.65*0.62*0.79</f>
        <v>0.31837000000000004</v>
      </c>
    </row>
    <row r="121" spans="2:15" s="47" customFormat="1" ht="18" customHeight="1" thickBot="1" x14ac:dyDescent="0.3">
      <c r="B121" s="84" t="s">
        <v>183</v>
      </c>
      <c r="C121" s="76">
        <v>110</v>
      </c>
      <c r="D121" s="77">
        <v>150</v>
      </c>
      <c r="E121" s="76">
        <v>500</v>
      </c>
      <c r="F121" s="77">
        <v>55.8</v>
      </c>
      <c r="G121" s="92" t="s">
        <v>178</v>
      </c>
      <c r="H121" s="192"/>
      <c r="I121" s="227" t="s">
        <v>28</v>
      </c>
      <c r="J121" s="231"/>
      <c r="K121" s="107" t="s">
        <v>28</v>
      </c>
      <c r="L121" s="76" t="s">
        <v>24</v>
      </c>
      <c r="M121" s="81">
        <v>2900</v>
      </c>
      <c r="N121" s="81">
        <v>180</v>
      </c>
      <c r="O121" s="82">
        <f>0.71*0.64*0.79</f>
        <v>0.35897600000000002</v>
      </c>
    </row>
    <row r="122" spans="2:15" s="112" customFormat="1" ht="18" customHeight="1" thickBot="1" x14ac:dyDescent="0.3">
      <c r="B122" s="84" t="s">
        <v>184</v>
      </c>
      <c r="C122" s="76">
        <v>132</v>
      </c>
      <c r="D122" s="77">
        <v>180</v>
      </c>
      <c r="E122" s="76">
        <v>660</v>
      </c>
      <c r="F122" s="77">
        <v>62</v>
      </c>
      <c r="G122" s="92" t="s">
        <v>178</v>
      </c>
      <c r="H122" s="192"/>
      <c r="I122" s="227" t="s">
        <v>28</v>
      </c>
      <c r="J122" s="231"/>
      <c r="K122" s="107" t="s">
        <v>28</v>
      </c>
      <c r="L122" s="76" t="s">
        <v>24</v>
      </c>
      <c r="M122" s="81">
        <v>2900</v>
      </c>
      <c r="N122" s="81">
        <v>181</v>
      </c>
      <c r="O122" s="82">
        <v>0.35897600000000002</v>
      </c>
    </row>
    <row r="123" spans="2:15" s="112" customFormat="1" ht="18" customHeight="1" thickBot="1" x14ac:dyDescent="0.3">
      <c r="B123" s="84" t="s">
        <v>185</v>
      </c>
      <c r="C123" s="76">
        <v>160</v>
      </c>
      <c r="D123" s="77">
        <v>220</v>
      </c>
      <c r="E123" s="76">
        <v>660</v>
      </c>
      <c r="F123" s="77">
        <v>75</v>
      </c>
      <c r="G123" s="92" t="s">
        <v>178</v>
      </c>
      <c r="H123" s="192"/>
      <c r="I123" s="227" t="s">
        <v>28</v>
      </c>
      <c r="J123" s="231"/>
      <c r="K123" s="107" t="s">
        <v>28</v>
      </c>
      <c r="L123" s="76" t="s">
        <v>24</v>
      </c>
      <c r="M123" s="81">
        <v>2900</v>
      </c>
      <c r="N123" s="81">
        <v>182</v>
      </c>
      <c r="O123" s="82">
        <v>0.35897600000000002</v>
      </c>
    </row>
    <row r="124" spans="2:15" s="112" customFormat="1" ht="18" customHeight="1" thickBot="1" x14ac:dyDescent="0.3">
      <c r="B124" s="84" t="s">
        <v>186</v>
      </c>
      <c r="C124" s="76">
        <v>200</v>
      </c>
      <c r="D124" s="77">
        <v>270</v>
      </c>
      <c r="E124" s="76">
        <v>660</v>
      </c>
      <c r="F124" s="77">
        <v>85</v>
      </c>
      <c r="G124" s="92" t="s">
        <v>178</v>
      </c>
      <c r="H124" s="192"/>
      <c r="I124" s="227" t="s">
        <v>28</v>
      </c>
      <c r="J124" s="231"/>
      <c r="K124" s="107" t="s">
        <v>28</v>
      </c>
      <c r="L124" s="76" t="s">
        <v>24</v>
      </c>
      <c r="M124" s="81">
        <v>2900</v>
      </c>
      <c r="N124" s="81">
        <v>183</v>
      </c>
      <c r="O124" s="82">
        <v>0.35897600000000002</v>
      </c>
    </row>
    <row r="125" spans="2:15" s="47" customFormat="1" ht="18" customHeight="1" thickBot="1" x14ac:dyDescent="0.3">
      <c r="B125" s="84" t="s">
        <v>187</v>
      </c>
      <c r="C125" s="76">
        <v>185</v>
      </c>
      <c r="D125" s="77">
        <v>250</v>
      </c>
      <c r="E125" s="76">
        <v>500</v>
      </c>
      <c r="F125" s="77">
        <v>82.8</v>
      </c>
      <c r="G125" s="92" t="s">
        <v>178</v>
      </c>
      <c r="H125" s="192"/>
      <c r="I125" s="227" t="s">
        <v>28</v>
      </c>
      <c r="J125" s="231"/>
      <c r="K125" s="107" t="s">
        <v>28</v>
      </c>
      <c r="L125" s="76" t="s">
        <v>24</v>
      </c>
      <c r="M125" s="81">
        <v>2900</v>
      </c>
      <c r="N125" s="81">
        <v>197</v>
      </c>
      <c r="O125" s="82">
        <v>0.38062200000000002</v>
      </c>
    </row>
    <row r="126" spans="2:15" s="47" customFormat="1" ht="18" customHeight="1" thickBot="1" x14ac:dyDescent="0.3">
      <c r="B126" s="84" t="s">
        <v>188</v>
      </c>
      <c r="C126" s="76">
        <v>250</v>
      </c>
      <c r="D126" s="77">
        <v>340</v>
      </c>
      <c r="E126" s="76">
        <v>660</v>
      </c>
      <c r="F126" s="77">
        <v>92</v>
      </c>
      <c r="G126" s="92" t="s">
        <v>178</v>
      </c>
      <c r="H126" s="192"/>
      <c r="I126" s="227" t="s">
        <v>28</v>
      </c>
      <c r="J126" s="231"/>
      <c r="K126" s="107" t="s">
        <v>28</v>
      </c>
      <c r="L126" s="76" t="s">
        <v>24</v>
      </c>
      <c r="M126" s="81">
        <v>2900</v>
      </c>
      <c r="N126" s="81">
        <v>198</v>
      </c>
      <c r="O126" s="82">
        <v>0.38062200000000002</v>
      </c>
    </row>
    <row r="127" spans="2:15" s="47" customFormat="1" ht="18" customHeight="1" thickBot="1" x14ac:dyDescent="0.3">
      <c r="B127" s="84" t="s">
        <v>189</v>
      </c>
      <c r="C127" s="76">
        <v>280</v>
      </c>
      <c r="D127" s="77">
        <v>380</v>
      </c>
      <c r="E127" s="76">
        <v>660</v>
      </c>
      <c r="F127" s="77">
        <v>105</v>
      </c>
      <c r="G127" s="92" t="s">
        <v>178</v>
      </c>
      <c r="H127" s="192"/>
      <c r="I127" s="227" t="s">
        <v>28</v>
      </c>
      <c r="J127" s="231"/>
      <c r="K127" s="107" t="s">
        <v>28</v>
      </c>
      <c r="L127" s="76" t="s">
        <v>24</v>
      </c>
      <c r="M127" s="81">
        <v>2900</v>
      </c>
      <c r="N127" s="81">
        <v>199</v>
      </c>
      <c r="O127" s="82">
        <v>0.38062200000000002</v>
      </c>
    </row>
    <row r="128" spans="2:15" s="47" customFormat="1" ht="18" customHeight="1" thickBot="1" x14ac:dyDescent="0.3">
      <c r="B128" s="84" t="s">
        <v>190</v>
      </c>
      <c r="C128" s="76">
        <v>315</v>
      </c>
      <c r="D128" s="77">
        <v>430</v>
      </c>
      <c r="E128" s="76">
        <v>660</v>
      </c>
      <c r="F128" s="77">
        <v>118</v>
      </c>
      <c r="G128" s="92" t="s">
        <v>178</v>
      </c>
      <c r="H128" s="192"/>
      <c r="I128" s="227" t="s">
        <v>28</v>
      </c>
      <c r="J128" s="231"/>
      <c r="K128" s="107" t="s">
        <v>28</v>
      </c>
      <c r="L128" s="76" t="s">
        <v>24</v>
      </c>
      <c r="M128" s="81">
        <v>2900</v>
      </c>
      <c r="N128" s="81">
        <v>200</v>
      </c>
      <c r="O128" s="82">
        <v>0.38062200000000002</v>
      </c>
    </row>
    <row r="129" spans="2:15" s="47" customFormat="1" ht="18" customHeight="1" thickBot="1" x14ac:dyDescent="0.3">
      <c r="B129" s="84" t="s">
        <v>191</v>
      </c>
      <c r="C129" s="76">
        <v>1.1000000000000001</v>
      </c>
      <c r="D129" s="77">
        <v>1.5</v>
      </c>
      <c r="E129" s="76">
        <v>45</v>
      </c>
      <c r="F129" s="77">
        <v>6.3</v>
      </c>
      <c r="G129" s="92" t="s">
        <v>109</v>
      </c>
      <c r="H129" s="192"/>
      <c r="I129" s="186">
        <v>544.63641825599996</v>
      </c>
      <c r="J129" s="253"/>
      <c r="K129" s="85">
        <v>902.21968771199988</v>
      </c>
      <c r="L129" s="76" t="s">
        <v>24</v>
      </c>
      <c r="M129" s="81">
        <v>1450</v>
      </c>
      <c r="N129" s="81">
        <v>45</v>
      </c>
      <c r="O129" s="82">
        <f>0.48*0.3*0.42</f>
        <v>6.0479999999999992E-2</v>
      </c>
    </row>
    <row r="130" spans="2:15" s="47" customFormat="1" ht="18" customHeight="1" thickBot="1" x14ac:dyDescent="0.3">
      <c r="B130" s="84" t="s">
        <v>192</v>
      </c>
      <c r="C130" s="76">
        <v>1.5</v>
      </c>
      <c r="D130" s="77">
        <v>2</v>
      </c>
      <c r="E130" s="76">
        <v>45</v>
      </c>
      <c r="F130" s="77">
        <v>7.4</v>
      </c>
      <c r="G130" s="92" t="s">
        <v>109</v>
      </c>
      <c r="H130" s="192"/>
      <c r="I130" s="186">
        <v>547.44221548799999</v>
      </c>
      <c r="J130" s="253"/>
      <c r="K130" s="85">
        <v>935.26574400000004</v>
      </c>
      <c r="L130" s="76" t="s">
        <v>24</v>
      </c>
      <c r="M130" s="81">
        <v>1450</v>
      </c>
      <c r="N130" s="81">
        <v>45</v>
      </c>
      <c r="O130" s="82">
        <f>0.48*0.3*0.42</f>
        <v>6.0479999999999992E-2</v>
      </c>
    </row>
    <row r="131" spans="2:15" s="47" customFormat="1" ht="18" customHeight="1" thickBot="1" x14ac:dyDescent="0.3">
      <c r="B131" s="84" t="s">
        <v>193</v>
      </c>
      <c r="C131" s="76">
        <v>2.2000000000000002</v>
      </c>
      <c r="D131" s="77">
        <v>3</v>
      </c>
      <c r="E131" s="76">
        <v>45</v>
      </c>
      <c r="F131" s="77">
        <v>9</v>
      </c>
      <c r="G131" s="92" t="s">
        <v>109</v>
      </c>
      <c r="H131" s="192"/>
      <c r="I131" s="186">
        <v>549.93625747199997</v>
      </c>
      <c r="J131" s="253"/>
      <c r="K131" s="85">
        <v>1060.903108944</v>
      </c>
      <c r="L131" s="76" t="s">
        <v>24</v>
      </c>
      <c r="M131" s="81">
        <v>1450</v>
      </c>
      <c r="N131" s="81">
        <v>45</v>
      </c>
      <c r="O131" s="82">
        <f>0.48*0.3*0.42</f>
        <v>6.0479999999999992E-2</v>
      </c>
    </row>
    <row r="132" spans="2:15" s="47" customFormat="1" ht="18" customHeight="1" thickBot="1" x14ac:dyDescent="0.3">
      <c r="B132" s="84" t="s">
        <v>194</v>
      </c>
      <c r="C132" s="76">
        <v>1.5</v>
      </c>
      <c r="D132" s="77">
        <v>2</v>
      </c>
      <c r="E132" s="76">
        <v>45</v>
      </c>
      <c r="F132" s="77">
        <v>8.1999999999999993</v>
      </c>
      <c r="G132" s="92" t="s">
        <v>109</v>
      </c>
      <c r="H132" s="192"/>
      <c r="I132" s="186">
        <v>587.34688723199997</v>
      </c>
      <c r="J132" s="253"/>
      <c r="K132" s="85">
        <v>978.91147871999999</v>
      </c>
      <c r="L132" s="76" t="s">
        <v>24</v>
      </c>
      <c r="M132" s="81">
        <v>1450</v>
      </c>
      <c r="N132" s="81">
        <v>50</v>
      </c>
      <c r="O132" s="82">
        <f>48*34*42/1000000</f>
        <v>6.8543999999999994E-2</v>
      </c>
    </row>
    <row r="133" spans="2:15" s="47" customFormat="1" ht="18" customHeight="1" thickBot="1" x14ac:dyDescent="0.3">
      <c r="B133" s="84" t="s">
        <v>195</v>
      </c>
      <c r="C133" s="76">
        <v>2.2000000000000002</v>
      </c>
      <c r="D133" s="77">
        <v>3</v>
      </c>
      <c r="E133" s="76">
        <v>45</v>
      </c>
      <c r="F133" s="77">
        <v>11</v>
      </c>
      <c r="G133" s="92" t="s">
        <v>109</v>
      </c>
      <c r="H133" s="192"/>
      <c r="I133" s="186">
        <v>590.46443971200006</v>
      </c>
      <c r="J133" s="253"/>
      <c r="K133" s="85">
        <v>1072.4380531199999</v>
      </c>
      <c r="L133" s="76" t="s">
        <v>24</v>
      </c>
      <c r="M133" s="81">
        <v>1450</v>
      </c>
      <c r="N133" s="81">
        <v>50</v>
      </c>
      <c r="O133" s="82">
        <f>48*34*42/1000000</f>
        <v>6.8543999999999994E-2</v>
      </c>
    </row>
    <row r="134" spans="2:15" s="47" customFormat="1" ht="18" customHeight="1" thickBot="1" x14ac:dyDescent="0.3">
      <c r="B134" s="84" t="s">
        <v>196</v>
      </c>
      <c r="C134" s="76">
        <v>3</v>
      </c>
      <c r="D134" s="77">
        <v>4</v>
      </c>
      <c r="E134" s="76">
        <v>45</v>
      </c>
      <c r="F134" s="77">
        <v>13.1</v>
      </c>
      <c r="G134" s="92" t="s">
        <v>109</v>
      </c>
      <c r="H134" s="192"/>
      <c r="I134" s="186">
        <v>593.89374743999997</v>
      </c>
      <c r="J134" s="253"/>
      <c r="K134" s="85">
        <v>1200.5694600479999</v>
      </c>
      <c r="L134" s="76" t="s">
        <v>24</v>
      </c>
      <c r="M134" s="81">
        <v>1450</v>
      </c>
      <c r="N134" s="81">
        <v>50</v>
      </c>
      <c r="O134" s="82">
        <f>48*34*42/1000000</f>
        <v>6.8543999999999994E-2</v>
      </c>
    </row>
    <row r="135" spans="2:15" s="47" customFormat="1" ht="18" customHeight="1" thickBot="1" x14ac:dyDescent="0.3">
      <c r="B135" s="84" t="s">
        <v>197</v>
      </c>
      <c r="C135" s="76">
        <v>3</v>
      </c>
      <c r="D135" s="77">
        <v>4</v>
      </c>
      <c r="E135" s="76">
        <v>45</v>
      </c>
      <c r="F135" s="77">
        <v>12.6</v>
      </c>
      <c r="G135" s="92" t="s">
        <v>109</v>
      </c>
      <c r="H135" s="192"/>
      <c r="I135" s="186">
        <v>615.40485955199995</v>
      </c>
      <c r="J135" s="253"/>
      <c r="K135" s="85">
        <v>1254.8148732</v>
      </c>
      <c r="L135" s="76" t="s">
        <v>24</v>
      </c>
      <c r="M135" s="81">
        <v>1450</v>
      </c>
      <c r="N135" s="81">
        <v>71</v>
      </c>
      <c r="O135" s="82">
        <f>59*36*50/1000000</f>
        <v>0.1062</v>
      </c>
    </row>
    <row r="136" spans="2:15" s="47" customFormat="1" ht="18" customHeight="1" thickBot="1" x14ac:dyDescent="0.3">
      <c r="B136" s="84" t="s">
        <v>198</v>
      </c>
      <c r="C136" s="76">
        <v>4</v>
      </c>
      <c r="D136" s="77">
        <v>5.5</v>
      </c>
      <c r="E136" s="76">
        <v>45</v>
      </c>
      <c r="F136" s="77">
        <v>16.899999999999999</v>
      </c>
      <c r="G136" s="92" t="s">
        <v>109</v>
      </c>
      <c r="H136" s="192"/>
      <c r="I136" s="186">
        <v>618.83416727999997</v>
      </c>
      <c r="J136" s="253"/>
      <c r="K136" s="85">
        <v>1366.6459343039999</v>
      </c>
      <c r="L136" s="76" t="s">
        <v>24</v>
      </c>
      <c r="M136" s="81">
        <v>1450</v>
      </c>
      <c r="N136" s="81">
        <v>71</v>
      </c>
      <c r="O136" s="82">
        <f>59*36*50/1000000</f>
        <v>0.1062</v>
      </c>
    </row>
    <row r="137" spans="2:15" s="47" customFormat="1" ht="18" customHeight="1" thickBot="1" x14ac:dyDescent="0.3">
      <c r="B137" s="84" t="s">
        <v>199</v>
      </c>
      <c r="C137" s="76">
        <v>5.5</v>
      </c>
      <c r="D137" s="77">
        <v>7.5</v>
      </c>
      <c r="E137" s="76">
        <v>45</v>
      </c>
      <c r="F137" s="77">
        <v>19.899999999999999</v>
      </c>
      <c r="G137" s="92" t="s">
        <v>109</v>
      </c>
      <c r="H137" s="192"/>
      <c r="I137" s="186">
        <v>621.95171975999995</v>
      </c>
      <c r="J137" s="253"/>
      <c r="K137" s="85">
        <v>1669.7611082879998</v>
      </c>
      <c r="L137" s="76" t="s">
        <v>24</v>
      </c>
      <c r="M137" s="81">
        <v>1450</v>
      </c>
      <c r="N137" s="81">
        <v>71</v>
      </c>
      <c r="O137" s="82">
        <f>59*36*50/1000000</f>
        <v>0.1062</v>
      </c>
    </row>
    <row r="138" spans="2:15" s="47" customFormat="1" ht="18" customHeight="1" thickBot="1" x14ac:dyDescent="0.3">
      <c r="B138" s="84" t="s">
        <v>200</v>
      </c>
      <c r="C138" s="76">
        <v>4</v>
      </c>
      <c r="D138" s="77">
        <v>5.5</v>
      </c>
      <c r="E138" s="76">
        <v>42</v>
      </c>
      <c r="F138" s="77">
        <v>16.7</v>
      </c>
      <c r="G138" s="92" t="s">
        <v>109</v>
      </c>
      <c r="H138" s="192"/>
      <c r="I138" s="186">
        <v>974.23514999999986</v>
      </c>
      <c r="J138" s="253"/>
      <c r="K138" s="85">
        <v>1814.2819339679997</v>
      </c>
      <c r="L138" s="76" t="s">
        <v>24</v>
      </c>
      <c r="M138" s="81">
        <v>1450</v>
      </c>
      <c r="N138" s="81">
        <v>119</v>
      </c>
      <c r="O138" s="82">
        <v>0.20200000000000001</v>
      </c>
    </row>
    <row r="139" spans="2:15" s="47" customFormat="1" ht="18" customHeight="1" thickBot="1" x14ac:dyDescent="0.3">
      <c r="B139" s="84" t="s">
        <v>201</v>
      </c>
      <c r="C139" s="76">
        <v>5.5</v>
      </c>
      <c r="D139" s="77">
        <v>7.5</v>
      </c>
      <c r="E139" s="76">
        <v>45</v>
      </c>
      <c r="F139" s="77">
        <v>20.2</v>
      </c>
      <c r="G139" s="92" t="s">
        <v>109</v>
      </c>
      <c r="H139" s="192"/>
      <c r="I139" s="186">
        <v>975.79392623999991</v>
      </c>
      <c r="J139" s="253"/>
      <c r="K139" s="85">
        <v>1947.1787425439998</v>
      </c>
      <c r="L139" s="76" t="s">
        <v>24</v>
      </c>
      <c r="M139" s="81">
        <v>1450</v>
      </c>
      <c r="N139" s="81">
        <v>119</v>
      </c>
      <c r="O139" s="82">
        <v>0.20200000000000001</v>
      </c>
    </row>
    <row r="140" spans="2:15" s="47" customFormat="1" ht="18" customHeight="1" thickBot="1" x14ac:dyDescent="0.3">
      <c r="B140" s="84" t="s">
        <v>202</v>
      </c>
      <c r="C140" s="76">
        <v>7.5</v>
      </c>
      <c r="D140" s="77">
        <v>10</v>
      </c>
      <c r="E140" s="76">
        <v>45</v>
      </c>
      <c r="F140" s="77">
        <v>24.9</v>
      </c>
      <c r="G140" s="92" t="s">
        <v>109</v>
      </c>
      <c r="H140" s="192"/>
      <c r="I140" s="186">
        <v>977.66445772799989</v>
      </c>
      <c r="J140" s="253"/>
      <c r="K140" s="85">
        <v>2049.9689014559995</v>
      </c>
      <c r="L140" s="76" t="s">
        <v>24</v>
      </c>
      <c r="M140" s="81">
        <v>1450</v>
      </c>
      <c r="N140" s="81">
        <v>119</v>
      </c>
      <c r="O140" s="82">
        <v>0.20200000000000001</v>
      </c>
    </row>
    <row r="141" spans="2:15" s="47" customFormat="1" ht="18" customHeight="1" thickBot="1" x14ac:dyDescent="0.3">
      <c r="B141" s="84" t="s">
        <v>203</v>
      </c>
      <c r="C141" s="76">
        <v>11</v>
      </c>
      <c r="D141" s="77">
        <v>15</v>
      </c>
      <c r="E141" s="76">
        <v>72</v>
      </c>
      <c r="F141" s="77">
        <v>30.2</v>
      </c>
      <c r="G141" s="92" t="s">
        <v>109</v>
      </c>
      <c r="H141" s="192"/>
      <c r="I141" s="186">
        <v>980.47025495999992</v>
      </c>
      <c r="J141" s="253"/>
      <c r="K141" s="85">
        <v>2369.4734941920001</v>
      </c>
      <c r="L141" s="76" t="s">
        <v>24</v>
      </c>
      <c r="M141" s="81">
        <v>1450</v>
      </c>
      <c r="N141" s="81">
        <v>119</v>
      </c>
      <c r="O141" s="82">
        <v>0.20200000000000001</v>
      </c>
    </row>
    <row r="142" spans="2:15" s="47" customFormat="1" ht="18" customHeight="1" thickBot="1" x14ac:dyDescent="0.3">
      <c r="B142" s="84" t="s">
        <v>204</v>
      </c>
      <c r="C142" s="76">
        <v>15</v>
      </c>
      <c r="D142" s="77">
        <v>20</v>
      </c>
      <c r="E142" s="76">
        <v>72</v>
      </c>
      <c r="F142" s="77">
        <v>35.4</v>
      </c>
      <c r="G142" s="92" t="s">
        <v>109</v>
      </c>
      <c r="H142" s="192"/>
      <c r="I142" s="186">
        <v>982.9642969439999</v>
      </c>
      <c r="J142" s="253"/>
      <c r="K142" s="85">
        <v>2528.7358894559993</v>
      </c>
      <c r="L142" s="76" t="s">
        <v>24</v>
      </c>
      <c r="M142" s="81">
        <v>1450</v>
      </c>
      <c r="N142" s="81">
        <v>119</v>
      </c>
      <c r="O142" s="82">
        <v>0.20200000000000001</v>
      </c>
    </row>
    <row r="143" spans="2:15" s="47" customFormat="1" ht="18" customHeight="1" thickBot="1" x14ac:dyDescent="0.3">
      <c r="B143" s="84" t="s">
        <v>205</v>
      </c>
      <c r="C143" s="76">
        <v>1.5</v>
      </c>
      <c r="D143" s="77">
        <v>2</v>
      </c>
      <c r="E143" s="76">
        <v>60</v>
      </c>
      <c r="F143" s="77">
        <v>6.4</v>
      </c>
      <c r="G143" s="92" t="s">
        <v>126</v>
      </c>
      <c r="H143" s="192"/>
      <c r="I143" s="186">
        <v>556.79487292800002</v>
      </c>
      <c r="J143" s="253"/>
      <c r="K143" s="85">
        <v>1055.6032697279998</v>
      </c>
      <c r="L143" s="76" t="s">
        <v>24</v>
      </c>
      <c r="M143" s="81">
        <v>1450</v>
      </c>
      <c r="N143" s="81">
        <v>48</v>
      </c>
      <c r="O143" s="82">
        <f>0.5*0.37*0.48</f>
        <v>8.879999999999999E-2</v>
      </c>
    </row>
    <row r="144" spans="2:15" s="47" customFormat="1" ht="18" customHeight="1" thickBot="1" x14ac:dyDescent="0.3">
      <c r="B144" s="84" t="s">
        <v>206</v>
      </c>
      <c r="C144" s="76">
        <v>2.2000000000000002</v>
      </c>
      <c r="D144" s="77">
        <v>3</v>
      </c>
      <c r="E144" s="76">
        <v>72</v>
      </c>
      <c r="F144" s="77">
        <v>7.4</v>
      </c>
      <c r="G144" s="92" t="s">
        <v>126</v>
      </c>
      <c r="H144" s="192"/>
      <c r="I144" s="186">
        <v>561.78295689600009</v>
      </c>
      <c r="J144" s="253"/>
      <c r="K144" s="85">
        <v>1151.0003756159999</v>
      </c>
      <c r="L144" s="76" t="s">
        <v>24</v>
      </c>
      <c r="M144" s="81">
        <v>1450</v>
      </c>
      <c r="N144" s="81">
        <v>48</v>
      </c>
      <c r="O144" s="82">
        <f>0.5*0.37*0.48</f>
        <v>8.879999999999999E-2</v>
      </c>
    </row>
    <row r="145" spans="2:15" s="47" customFormat="1" ht="18" customHeight="1" thickBot="1" x14ac:dyDescent="0.3">
      <c r="B145" s="84" t="s">
        <v>207</v>
      </c>
      <c r="C145" s="76">
        <v>3</v>
      </c>
      <c r="D145" s="77">
        <v>4</v>
      </c>
      <c r="E145" s="76">
        <v>60</v>
      </c>
      <c r="F145" s="77">
        <v>10.1</v>
      </c>
      <c r="G145" s="92" t="s">
        <v>126</v>
      </c>
      <c r="H145" s="192"/>
      <c r="I145" s="186">
        <v>661.85639150399993</v>
      </c>
      <c r="J145" s="253"/>
      <c r="K145" s="85">
        <v>1301.2664051519998</v>
      </c>
      <c r="L145" s="76" t="s">
        <v>24</v>
      </c>
      <c r="M145" s="81">
        <v>1450</v>
      </c>
      <c r="N145" s="81">
        <v>65</v>
      </c>
      <c r="O145" s="82">
        <f>66*35*46/1000000</f>
        <v>0.10625999999999999</v>
      </c>
    </row>
    <row r="146" spans="2:15" s="47" customFormat="1" ht="18" customHeight="1" thickBot="1" x14ac:dyDescent="0.3">
      <c r="B146" s="84" t="s">
        <v>208</v>
      </c>
      <c r="C146" s="76">
        <v>4</v>
      </c>
      <c r="D146" s="77">
        <v>5.5</v>
      </c>
      <c r="E146" s="76">
        <v>72</v>
      </c>
      <c r="F146" s="77">
        <v>12.4</v>
      </c>
      <c r="G146" s="92" t="s">
        <v>126</v>
      </c>
      <c r="H146" s="192"/>
      <c r="I146" s="186">
        <v>665.28569923199996</v>
      </c>
      <c r="J146" s="253"/>
      <c r="K146" s="85">
        <v>1414.4780966400001</v>
      </c>
      <c r="L146" s="76" t="s">
        <v>24</v>
      </c>
      <c r="M146" s="81">
        <v>1450</v>
      </c>
      <c r="N146" s="81">
        <v>65</v>
      </c>
      <c r="O146" s="82">
        <f>66*35*46/1000000</f>
        <v>0.10625999999999999</v>
      </c>
    </row>
    <row r="147" spans="2:15" s="47" customFormat="1" ht="18" customHeight="1" thickBot="1" x14ac:dyDescent="0.3">
      <c r="B147" s="84" t="s">
        <v>209</v>
      </c>
      <c r="C147" s="76">
        <v>4</v>
      </c>
      <c r="D147" s="77">
        <v>5.5</v>
      </c>
      <c r="E147" s="76">
        <v>60</v>
      </c>
      <c r="F147" s="77">
        <v>14.8</v>
      </c>
      <c r="G147" s="92" t="s">
        <v>126</v>
      </c>
      <c r="H147" s="192"/>
      <c r="I147" s="186">
        <v>750.39488193599993</v>
      </c>
      <c r="J147" s="253"/>
      <c r="K147" s="85">
        <v>1537.4432737439997</v>
      </c>
      <c r="L147" s="76" t="s">
        <v>24</v>
      </c>
      <c r="M147" s="81">
        <v>1450</v>
      </c>
      <c r="N147" s="81">
        <v>79</v>
      </c>
      <c r="O147" s="82">
        <f>66*40*54/1000000</f>
        <v>0.14255999999999999</v>
      </c>
    </row>
    <row r="148" spans="2:15" s="47" customFormat="1" ht="18" customHeight="1" thickBot="1" x14ac:dyDescent="0.3">
      <c r="B148" s="84" t="s">
        <v>210</v>
      </c>
      <c r="C148" s="76">
        <v>5.5</v>
      </c>
      <c r="D148" s="77">
        <v>7.5</v>
      </c>
      <c r="E148" s="76">
        <v>72</v>
      </c>
      <c r="F148" s="77">
        <v>17.2</v>
      </c>
      <c r="G148" s="92" t="s">
        <v>126</v>
      </c>
      <c r="H148" s="192"/>
      <c r="I148" s="186">
        <v>756.94174214399993</v>
      </c>
      <c r="J148" s="253"/>
      <c r="K148" s="85">
        <v>1675.23909336</v>
      </c>
      <c r="L148" s="76" t="s">
        <v>24</v>
      </c>
      <c r="M148" s="81">
        <v>1450</v>
      </c>
      <c r="N148" s="81">
        <v>79</v>
      </c>
      <c r="O148" s="82">
        <f>66*40*54/1000000</f>
        <v>0.14255999999999999</v>
      </c>
    </row>
    <row r="149" spans="2:15" s="47" customFormat="1" ht="18" customHeight="1" thickBot="1" x14ac:dyDescent="0.3">
      <c r="B149" s="84" t="s">
        <v>211</v>
      </c>
      <c r="C149" s="76">
        <v>7.5</v>
      </c>
      <c r="D149" s="77">
        <v>10</v>
      </c>
      <c r="E149" s="76">
        <v>72</v>
      </c>
      <c r="F149" s="77">
        <v>21.3</v>
      </c>
      <c r="G149" s="92" t="s">
        <v>126</v>
      </c>
      <c r="H149" s="192"/>
      <c r="I149" s="186">
        <v>763.48860235200004</v>
      </c>
      <c r="J149" s="253"/>
      <c r="K149" s="85">
        <v>1782.7946539199997</v>
      </c>
      <c r="L149" s="76" t="s">
        <v>24</v>
      </c>
      <c r="M149" s="81">
        <v>1450</v>
      </c>
      <c r="N149" s="81">
        <v>79</v>
      </c>
      <c r="O149" s="82">
        <f>66*40*54/1000000</f>
        <v>0.14255999999999999</v>
      </c>
    </row>
    <row r="150" spans="2:15" s="47" customFormat="1" ht="18" customHeight="1" thickBot="1" x14ac:dyDescent="0.3">
      <c r="B150" s="84" t="s">
        <v>212</v>
      </c>
      <c r="C150" s="76">
        <v>11</v>
      </c>
      <c r="D150" s="77">
        <v>15</v>
      </c>
      <c r="E150" s="76">
        <v>84</v>
      </c>
      <c r="F150" s="77">
        <v>23.9</v>
      </c>
      <c r="G150" s="92" t="s">
        <v>126</v>
      </c>
      <c r="H150" s="192"/>
      <c r="I150" s="186">
        <v>766.91791007999996</v>
      </c>
      <c r="J150" s="253"/>
      <c r="K150" s="85">
        <v>2305.8754236</v>
      </c>
      <c r="L150" s="76" t="s">
        <v>24</v>
      </c>
      <c r="M150" s="81">
        <v>1450</v>
      </c>
      <c r="N150" s="81">
        <v>79</v>
      </c>
      <c r="O150" s="82">
        <f>66*40*54/1000000</f>
        <v>0.14255999999999999</v>
      </c>
    </row>
    <row r="151" spans="2:15" s="47" customFormat="1" ht="18" customHeight="1" thickBot="1" x14ac:dyDescent="0.3">
      <c r="B151" s="84" t="s">
        <v>213</v>
      </c>
      <c r="C151" s="76">
        <v>5.5</v>
      </c>
      <c r="D151" s="77">
        <v>7.5</v>
      </c>
      <c r="E151" s="76">
        <v>72</v>
      </c>
      <c r="F151" s="77">
        <v>16.8</v>
      </c>
      <c r="G151" s="92" t="s">
        <v>126</v>
      </c>
      <c r="H151" s="192"/>
      <c r="I151" s="186">
        <v>1123.5659137920002</v>
      </c>
      <c r="J151" s="253"/>
      <c r="K151" s="85">
        <v>2194.4451906720001</v>
      </c>
      <c r="L151" s="76" t="s">
        <v>24</v>
      </c>
      <c r="M151" s="81">
        <v>1450</v>
      </c>
      <c r="N151" s="81">
        <v>127</v>
      </c>
      <c r="O151" s="82">
        <v>0.217</v>
      </c>
    </row>
    <row r="152" spans="2:15" s="47" customFormat="1" ht="18" customHeight="1" thickBot="1" x14ac:dyDescent="0.3">
      <c r="B152" s="84" t="s">
        <v>214</v>
      </c>
      <c r="C152" s="76">
        <v>7.5</v>
      </c>
      <c r="D152" s="77">
        <v>10</v>
      </c>
      <c r="E152" s="76">
        <v>72</v>
      </c>
      <c r="F152" s="77">
        <v>21.9</v>
      </c>
      <c r="G152" s="92" t="s">
        <v>126</v>
      </c>
      <c r="H152" s="192"/>
      <c r="I152" s="186">
        <v>1125.43644528</v>
      </c>
      <c r="J152" s="253"/>
      <c r="K152" s="85">
        <v>2297.5471048320001</v>
      </c>
      <c r="L152" s="76" t="s">
        <v>24</v>
      </c>
      <c r="M152" s="81">
        <v>1450</v>
      </c>
      <c r="N152" s="81">
        <v>128</v>
      </c>
      <c r="O152" s="82">
        <v>0.217</v>
      </c>
    </row>
    <row r="153" spans="2:15" s="47" customFormat="1" ht="18" customHeight="1" thickBot="1" x14ac:dyDescent="0.3">
      <c r="B153" s="84" t="s">
        <v>215</v>
      </c>
      <c r="C153" s="76">
        <v>11</v>
      </c>
      <c r="D153" s="77">
        <v>15</v>
      </c>
      <c r="E153" s="76">
        <v>90</v>
      </c>
      <c r="F153" s="77">
        <v>26.3</v>
      </c>
      <c r="G153" s="92" t="s">
        <v>126</v>
      </c>
      <c r="H153" s="192"/>
      <c r="I153" s="186">
        <v>1126.9952215199999</v>
      </c>
      <c r="J153" s="253"/>
      <c r="K153" s="85">
        <v>2616.0718953599999</v>
      </c>
      <c r="L153" s="76" t="s">
        <v>24</v>
      </c>
      <c r="M153" s="81">
        <v>1450</v>
      </c>
      <c r="N153" s="81">
        <v>129</v>
      </c>
      <c r="O153" s="82">
        <v>0.217</v>
      </c>
    </row>
    <row r="154" spans="2:15" s="47" customFormat="1" ht="18" customHeight="1" thickBot="1" x14ac:dyDescent="0.3">
      <c r="B154" s="84" t="s">
        <v>216</v>
      </c>
      <c r="C154" s="76">
        <v>15</v>
      </c>
      <c r="D154" s="77">
        <v>20</v>
      </c>
      <c r="E154" s="76">
        <v>90</v>
      </c>
      <c r="F154" s="77">
        <v>33</v>
      </c>
      <c r="G154" s="92" t="s">
        <v>126</v>
      </c>
      <c r="H154" s="192"/>
      <c r="I154" s="186">
        <v>1129.8010187520001</v>
      </c>
      <c r="J154" s="253"/>
      <c r="K154" s="85">
        <v>2816.7532021440002</v>
      </c>
      <c r="L154" s="76" t="s">
        <v>24</v>
      </c>
      <c r="M154" s="81">
        <v>1450</v>
      </c>
      <c r="N154" s="81">
        <v>130</v>
      </c>
      <c r="O154" s="82">
        <v>0.217</v>
      </c>
    </row>
    <row r="155" spans="2:15" s="47" customFormat="1" ht="18" customHeight="1" thickBot="1" x14ac:dyDescent="0.3">
      <c r="B155" s="84" t="s">
        <v>217</v>
      </c>
      <c r="C155" s="76">
        <v>18.5</v>
      </c>
      <c r="D155" s="77">
        <v>25</v>
      </c>
      <c r="E155" s="76">
        <v>90</v>
      </c>
      <c r="F155" s="77">
        <v>36.6</v>
      </c>
      <c r="G155" s="92" t="s">
        <v>126</v>
      </c>
      <c r="H155" s="192"/>
      <c r="I155" s="186">
        <v>1672.8786607679999</v>
      </c>
      <c r="J155" s="253"/>
      <c r="K155" s="85">
        <v>3671.2298004479999</v>
      </c>
      <c r="L155" s="76" t="s">
        <v>24</v>
      </c>
      <c r="M155" s="81">
        <v>1450</v>
      </c>
      <c r="N155" s="81">
        <v>150</v>
      </c>
      <c r="O155" s="82">
        <f>0.45*0.72*0.79</f>
        <v>0.25596000000000002</v>
      </c>
    </row>
    <row r="156" spans="2:15" s="47" customFormat="1" ht="18" customHeight="1" thickBot="1" x14ac:dyDescent="0.3">
      <c r="B156" s="84" t="s">
        <v>218</v>
      </c>
      <c r="C156" s="76">
        <v>22</v>
      </c>
      <c r="D156" s="77">
        <v>30</v>
      </c>
      <c r="E156" s="76">
        <v>90</v>
      </c>
      <c r="F156" s="77">
        <v>42</v>
      </c>
      <c r="G156" s="92" t="s">
        <v>126</v>
      </c>
      <c r="H156" s="192"/>
      <c r="I156" s="186">
        <v>1679.4255209759999</v>
      </c>
      <c r="J156" s="253"/>
      <c r="K156" s="85">
        <v>3835.6138890719994</v>
      </c>
      <c r="L156" s="76" t="s">
        <v>24</v>
      </c>
      <c r="M156" s="81">
        <v>1450</v>
      </c>
      <c r="N156" s="81">
        <v>151</v>
      </c>
      <c r="O156" s="82">
        <f>0.45*0.72*0.79</f>
        <v>0.25596000000000002</v>
      </c>
    </row>
    <row r="157" spans="2:15" s="47" customFormat="1" ht="18" customHeight="1" thickBot="1" x14ac:dyDescent="0.3">
      <c r="B157" s="84" t="s">
        <v>219</v>
      </c>
      <c r="C157" s="76">
        <v>30</v>
      </c>
      <c r="D157" s="77">
        <v>40</v>
      </c>
      <c r="E157" s="76">
        <v>90</v>
      </c>
      <c r="F157" s="77">
        <v>52.8</v>
      </c>
      <c r="G157" s="92" t="s">
        <v>126</v>
      </c>
      <c r="H157" s="192"/>
      <c r="I157" s="186">
        <v>1685.9723811840001</v>
      </c>
      <c r="J157" s="253"/>
      <c r="K157" s="85">
        <v>4204.5984933119989</v>
      </c>
      <c r="L157" s="76" t="s">
        <v>24</v>
      </c>
      <c r="M157" s="81">
        <v>1450</v>
      </c>
      <c r="N157" s="81">
        <v>152</v>
      </c>
      <c r="O157" s="82">
        <f>0.45*0.72*0.79</f>
        <v>0.25596000000000002</v>
      </c>
    </row>
    <row r="158" spans="2:15" s="47" customFormat="1" ht="18" customHeight="1" thickBot="1" x14ac:dyDescent="0.3">
      <c r="B158" s="84" t="s">
        <v>220</v>
      </c>
      <c r="C158" s="76">
        <v>37</v>
      </c>
      <c r="D158" s="77">
        <v>50</v>
      </c>
      <c r="E158" s="76">
        <v>140</v>
      </c>
      <c r="F158" s="77">
        <v>49.4</v>
      </c>
      <c r="G158" s="92" t="s">
        <v>126</v>
      </c>
      <c r="H158" s="192"/>
      <c r="I158" s="186">
        <v>1692.5192413919999</v>
      </c>
      <c r="J158" s="253"/>
      <c r="K158" s="85">
        <v>4720.2862099680005</v>
      </c>
      <c r="L158" s="76" t="s">
        <v>24</v>
      </c>
      <c r="M158" s="81">
        <v>1450</v>
      </c>
      <c r="N158" s="81">
        <v>153</v>
      </c>
      <c r="O158" s="82">
        <f>0.45*0.72*0.79</f>
        <v>0.25596000000000002</v>
      </c>
    </row>
    <row r="159" spans="2:15" s="47" customFormat="1" ht="18" customHeight="1" thickBot="1" x14ac:dyDescent="0.3">
      <c r="B159" s="84" t="s">
        <v>221</v>
      </c>
      <c r="C159" s="76">
        <v>2.2000000000000002</v>
      </c>
      <c r="D159" s="77">
        <v>3</v>
      </c>
      <c r="E159" s="76">
        <v>72</v>
      </c>
      <c r="F159" s="77">
        <v>5.3</v>
      </c>
      <c r="G159" s="92" t="s">
        <v>145</v>
      </c>
      <c r="H159" s="192"/>
      <c r="I159" s="186">
        <v>560.22418065600004</v>
      </c>
      <c r="J159" s="253"/>
      <c r="K159" s="85">
        <v>1152.559151856</v>
      </c>
      <c r="L159" s="76" t="s">
        <v>24</v>
      </c>
      <c r="M159" s="81">
        <v>1450</v>
      </c>
      <c r="N159" s="81">
        <v>60</v>
      </c>
      <c r="O159" s="82">
        <f>0.5*0.38*0.58</f>
        <v>0.11019999999999999</v>
      </c>
    </row>
    <row r="160" spans="2:15" s="47" customFormat="1" ht="18" customHeight="1" thickBot="1" x14ac:dyDescent="0.3">
      <c r="B160" s="84" t="s">
        <v>222</v>
      </c>
      <c r="C160" s="76">
        <v>3</v>
      </c>
      <c r="D160" s="77">
        <v>4</v>
      </c>
      <c r="E160" s="76">
        <v>84</v>
      </c>
      <c r="F160" s="77">
        <v>7.3</v>
      </c>
      <c r="G160" s="92" t="s">
        <v>145</v>
      </c>
      <c r="H160" s="192"/>
      <c r="I160" s="186">
        <v>563.96524363200001</v>
      </c>
      <c r="J160" s="253"/>
      <c r="K160" s="85">
        <v>1183.4229214079999</v>
      </c>
      <c r="L160" s="76" t="s">
        <v>24</v>
      </c>
      <c r="M160" s="81">
        <v>1450</v>
      </c>
      <c r="N160" s="81">
        <v>60</v>
      </c>
      <c r="O160" s="82">
        <f>0.5*0.38*0.58</f>
        <v>0.11019999999999999</v>
      </c>
    </row>
    <row r="161" spans="2:15" s="47" customFormat="1" ht="18" customHeight="1" thickBot="1" x14ac:dyDescent="0.3">
      <c r="B161" s="84" t="s">
        <v>223</v>
      </c>
      <c r="C161" s="76">
        <v>4</v>
      </c>
      <c r="D161" s="77">
        <v>5.5</v>
      </c>
      <c r="E161" s="76">
        <v>96</v>
      </c>
      <c r="F161" s="77">
        <v>10.199999999999999</v>
      </c>
      <c r="G161" s="92" t="s">
        <v>145</v>
      </c>
      <c r="H161" s="192"/>
      <c r="I161" s="186">
        <v>568.95332759999997</v>
      </c>
      <c r="J161" s="253"/>
      <c r="K161" s="85">
        <v>1463.290061184</v>
      </c>
      <c r="L161" s="76" t="s">
        <v>24</v>
      </c>
      <c r="M161" s="81">
        <v>1450</v>
      </c>
      <c r="N161" s="81">
        <v>60</v>
      </c>
      <c r="O161" s="82">
        <f>0.5*0.38*0.58</f>
        <v>0.11019999999999999</v>
      </c>
    </row>
    <row r="162" spans="2:15" s="47" customFormat="1" ht="18" customHeight="1" thickBot="1" x14ac:dyDescent="0.3">
      <c r="B162" s="84" t="s">
        <v>224</v>
      </c>
      <c r="C162" s="76">
        <v>4</v>
      </c>
      <c r="D162" s="77">
        <v>5.5</v>
      </c>
      <c r="E162" s="76">
        <v>96</v>
      </c>
      <c r="F162" s="77">
        <v>9.6999999999999993</v>
      </c>
      <c r="G162" s="92" t="s">
        <v>145</v>
      </c>
      <c r="H162" s="192"/>
      <c r="I162" s="186">
        <v>808.69311331199992</v>
      </c>
      <c r="J162" s="253"/>
      <c r="K162" s="85">
        <v>1565.4121731360001</v>
      </c>
      <c r="L162" s="76" t="s">
        <v>24</v>
      </c>
      <c r="M162" s="81">
        <v>1450</v>
      </c>
      <c r="N162" s="81">
        <v>75</v>
      </c>
      <c r="O162" s="82">
        <f>66*38*54/1000000</f>
        <v>0.135432</v>
      </c>
    </row>
    <row r="163" spans="2:15" s="47" customFormat="1" ht="18" customHeight="1" thickBot="1" x14ac:dyDescent="0.3">
      <c r="B163" s="84" t="s">
        <v>225</v>
      </c>
      <c r="C163" s="76">
        <v>5.5</v>
      </c>
      <c r="D163" s="77">
        <v>7.5</v>
      </c>
      <c r="E163" s="76">
        <v>140</v>
      </c>
      <c r="F163" s="77">
        <v>9.6</v>
      </c>
      <c r="G163" s="92" t="s">
        <v>145</v>
      </c>
      <c r="H163" s="192"/>
      <c r="I163" s="186">
        <v>813.05768678399977</v>
      </c>
      <c r="J163" s="253"/>
      <c r="K163" s="85">
        <v>1701.2483883359998</v>
      </c>
      <c r="L163" s="76" t="s">
        <v>24</v>
      </c>
      <c r="M163" s="81">
        <v>1450</v>
      </c>
      <c r="N163" s="81">
        <v>75</v>
      </c>
      <c r="O163" s="82">
        <f>66*38*54/1000000</f>
        <v>0.135432</v>
      </c>
    </row>
    <row r="164" spans="2:15" s="47" customFormat="1" ht="18" customHeight="1" thickBot="1" x14ac:dyDescent="0.3">
      <c r="B164" s="84" t="s">
        <v>226</v>
      </c>
      <c r="C164" s="76">
        <v>7.5</v>
      </c>
      <c r="D164" s="77">
        <v>10</v>
      </c>
      <c r="E164" s="76">
        <v>140</v>
      </c>
      <c r="F164" s="77">
        <v>11.1</v>
      </c>
      <c r="G164" s="92" t="s">
        <v>145</v>
      </c>
      <c r="H164" s="192"/>
      <c r="I164" s="186">
        <v>817.7340155039999</v>
      </c>
      <c r="J164" s="253"/>
      <c r="K164" s="85">
        <v>1820.6951847839998</v>
      </c>
      <c r="L164" s="76" t="s">
        <v>24</v>
      </c>
      <c r="M164" s="81">
        <v>1450</v>
      </c>
      <c r="N164" s="81">
        <v>75</v>
      </c>
      <c r="O164" s="82">
        <f>66*38*54/1000000</f>
        <v>0.135432</v>
      </c>
    </row>
    <row r="165" spans="2:15" s="47" customFormat="1" ht="18" customHeight="1" thickBot="1" x14ac:dyDescent="0.3">
      <c r="B165" s="84" t="s">
        <v>227</v>
      </c>
      <c r="C165" s="76">
        <v>9.1999999999999993</v>
      </c>
      <c r="D165" s="77">
        <v>12.5</v>
      </c>
      <c r="E165" s="76">
        <v>140</v>
      </c>
      <c r="F165" s="77">
        <v>12.8</v>
      </c>
      <c r="G165" s="92" t="s">
        <v>145</v>
      </c>
      <c r="H165" s="192"/>
      <c r="I165" s="186">
        <v>822.41034422399991</v>
      </c>
      <c r="J165" s="253"/>
      <c r="K165" s="85">
        <v>2039.9927335199998</v>
      </c>
      <c r="L165" s="76" t="s">
        <v>24</v>
      </c>
      <c r="M165" s="81">
        <v>1450</v>
      </c>
      <c r="N165" s="81">
        <v>75</v>
      </c>
      <c r="O165" s="82">
        <f>66*38*54/1000000</f>
        <v>0.135432</v>
      </c>
    </row>
    <row r="166" spans="2:15" s="47" customFormat="1" ht="18" customHeight="1" thickBot="1" x14ac:dyDescent="0.3">
      <c r="B166" s="84" t="s">
        <v>228</v>
      </c>
      <c r="C166" s="76">
        <v>5.5</v>
      </c>
      <c r="D166" s="77">
        <v>7.5</v>
      </c>
      <c r="E166" s="76">
        <v>96</v>
      </c>
      <c r="F166" s="77">
        <v>13.4</v>
      </c>
      <c r="G166" s="92" t="s">
        <v>145</v>
      </c>
      <c r="H166" s="192"/>
      <c r="I166" s="186">
        <v>877.90277836799999</v>
      </c>
      <c r="J166" s="253"/>
      <c r="K166" s="85">
        <v>1849.5993499199997</v>
      </c>
      <c r="L166" s="76" t="s">
        <v>24</v>
      </c>
      <c r="M166" s="81">
        <v>1450</v>
      </c>
      <c r="N166" s="81">
        <v>88</v>
      </c>
      <c r="O166" s="82">
        <f>68*42*56/1000000</f>
        <v>0.15993599999999999</v>
      </c>
    </row>
    <row r="167" spans="2:15" s="47" customFormat="1" ht="18" customHeight="1" thickBot="1" x14ac:dyDescent="0.3">
      <c r="B167" s="84" t="s">
        <v>229</v>
      </c>
      <c r="C167" s="76">
        <v>7.5</v>
      </c>
      <c r="D167" s="77">
        <v>10</v>
      </c>
      <c r="E167" s="76">
        <v>96</v>
      </c>
      <c r="F167" s="77">
        <v>17.600000000000001</v>
      </c>
      <c r="G167" s="92" t="s">
        <v>145</v>
      </c>
      <c r="H167" s="192"/>
      <c r="I167" s="186">
        <v>882.26735183999983</v>
      </c>
      <c r="J167" s="253"/>
      <c r="K167" s="85">
        <v>2089.7845002720001</v>
      </c>
      <c r="L167" s="76" t="s">
        <v>24</v>
      </c>
      <c r="M167" s="81">
        <v>1450</v>
      </c>
      <c r="N167" s="81">
        <v>88</v>
      </c>
      <c r="O167" s="82">
        <f>68*42*56/1000000</f>
        <v>0.15993599999999999</v>
      </c>
    </row>
    <row r="168" spans="2:15" s="47" customFormat="1" ht="18" customHeight="1" thickBot="1" x14ac:dyDescent="0.3">
      <c r="B168" s="84" t="s">
        <v>230</v>
      </c>
      <c r="C168" s="76">
        <v>11</v>
      </c>
      <c r="D168" s="77">
        <v>15</v>
      </c>
      <c r="E168" s="76">
        <v>140</v>
      </c>
      <c r="F168" s="77">
        <v>19.7</v>
      </c>
      <c r="G168" s="92" t="s">
        <v>145</v>
      </c>
      <c r="H168" s="192"/>
      <c r="I168" s="186">
        <v>887.8789463039999</v>
      </c>
      <c r="J168" s="253"/>
      <c r="K168" s="85">
        <v>2345.06751192</v>
      </c>
      <c r="L168" s="76" t="s">
        <v>24</v>
      </c>
      <c r="M168" s="81">
        <v>1450</v>
      </c>
      <c r="N168" s="81">
        <v>88</v>
      </c>
      <c r="O168" s="82">
        <f>68*42*56/1000000</f>
        <v>0.15993599999999999</v>
      </c>
    </row>
    <row r="169" spans="2:15" s="47" customFormat="1" ht="18" customHeight="1" thickBot="1" x14ac:dyDescent="0.3">
      <c r="B169" s="84" t="s">
        <v>231</v>
      </c>
      <c r="C169" s="76">
        <v>15</v>
      </c>
      <c r="D169" s="77">
        <v>20</v>
      </c>
      <c r="E169" s="76">
        <v>140</v>
      </c>
      <c r="F169" s="77">
        <v>23.2</v>
      </c>
      <c r="G169" s="92" t="s">
        <v>145</v>
      </c>
      <c r="H169" s="192"/>
      <c r="I169" s="186">
        <v>892.86703027199997</v>
      </c>
      <c r="J169" s="253"/>
      <c r="K169" s="85">
        <v>2480.8591906559996</v>
      </c>
      <c r="L169" s="76" t="s">
        <v>24</v>
      </c>
      <c r="M169" s="81">
        <v>1450</v>
      </c>
      <c r="N169" s="81">
        <v>88</v>
      </c>
      <c r="O169" s="82">
        <f>68*42*56/1000000</f>
        <v>0.15993599999999999</v>
      </c>
    </row>
    <row r="170" spans="2:15" s="47" customFormat="1" ht="18" customHeight="1" thickBot="1" x14ac:dyDescent="0.3">
      <c r="B170" s="84" t="s">
        <v>232</v>
      </c>
      <c r="C170" s="76">
        <v>15</v>
      </c>
      <c r="D170" s="77">
        <v>20</v>
      </c>
      <c r="E170" s="76">
        <v>140</v>
      </c>
      <c r="F170" s="77">
        <v>23.1</v>
      </c>
      <c r="G170" s="92" t="s">
        <v>145</v>
      </c>
      <c r="H170" s="192"/>
      <c r="I170" s="186">
        <v>1241.4093975359999</v>
      </c>
      <c r="J170" s="253"/>
      <c r="K170" s="85">
        <v>2967.3755233919996</v>
      </c>
      <c r="L170" s="76" t="s">
        <v>24</v>
      </c>
      <c r="M170" s="81">
        <v>1450</v>
      </c>
      <c r="N170" s="81">
        <v>157</v>
      </c>
      <c r="O170" s="82">
        <v>0.26100000000000001</v>
      </c>
    </row>
    <row r="171" spans="2:15" s="47" customFormat="1" ht="18" customHeight="1" thickBot="1" x14ac:dyDescent="0.3">
      <c r="B171" s="84" t="s">
        <v>233</v>
      </c>
      <c r="C171" s="76">
        <v>18.5</v>
      </c>
      <c r="D171" s="77">
        <v>25</v>
      </c>
      <c r="E171" s="76">
        <v>140</v>
      </c>
      <c r="F171" s="77">
        <v>26.1</v>
      </c>
      <c r="G171" s="92" t="s">
        <v>145</v>
      </c>
      <c r="H171" s="192"/>
      <c r="I171" s="186">
        <v>1244.2151947679999</v>
      </c>
      <c r="J171" s="253"/>
      <c r="K171" s="85">
        <v>3230.0070515999996</v>
      </c>
      <c r="L171" s="76" t="s">
        <v>24</v>
      </c>
      <c r="M171" s="81">
        <v>1450</v>
      </c>
      <c r="N171" s="81">
        <v>158</v>
      </c>
      <c r="O171" s="82">
        <v>0.26100000000000001</v>
      </c>
    </row>
    <row r="172" spans="2:15" s="47" customFormat="1" ht="18" customHeight="1" thickBot="1" x14ac:dyDescent="0.3">
      <c r="B172" s="84" t="s">
        <v>234</v>
      </c>
      <c r="C172" s="76">
        <v>22</v>
      </c>
      <c r="D172" s="77">
        <v>30</v>
      </c>
      <c r="E172" s="76">
        <v>150</v>
      </c>
      <c r="F172" s="77">
        <v>29</v>
      </c>
      <c r="G172" s="92" t="s">
        <v>145</v>
      </c>
      <c r="H172" s="192"/>
      <c r="I172" s="186">
        <v>1246.7092367519999</v>
      </c>
      <c r="J172" s="253"/>
      <c r="K172" s="85">
        <v>3390.2492490720006</v>
      </c>
      <c r="L172" s="76" t="s">
        <v>24</v>
      </c>
      <c r="M172" s="81">
        <v>1450</v>
      </c>
      <c r="N172" s="81">
        <v>159</v>
      </c>
      <c r="O172" s="82">
        <v>0.26100000000000001</v>
      </c>
    </row>
    <row r="173" spans="2:15" s="47" customFormat="1" ht="18" customHeight="1" thickBot="1" x14ac:dyDescent="0.3">
      <c r="B173" s="84" t="s">
        <v>235</v>
      </c>
      <c r="C173" s="76">
        <v>30</v>
      </c>
      <c r="D173" s="77">
        <v>40</v>
      </c>
      <c r="E173" s="76">
        <v>150</v>
      </c>
      <c r="F173" s="77">
        <v>32.4</v>
      </c>
      <c r="G173" s="92" t="s">
        <v>145</v>
      </c>
      <c r="H173" s="192"/>
      <c r="I173" s="186">
        <v>1249.515033984</v>
      </c>
      <c r="J173" s="253"/>
      <c r="K173" s="85">
        <v>3733.8480688319992</v>
      </c>
      <c r="L173" s="76" t="s">
        <v>24</v>
      </c>
      <c r="M173" s="81">
        <v>1450</v>
      </c>
      <c r="N173" s="81">
        <v>160</v>
      </c>
      <c r="O173" s="82">
        <v>0.26100000000000001</v>
      </c>
    </row>
    <row r="174" spans="2:15" s="47" customFormat="1" ht="18" customHeight="1" thickBot="1" x14ac:dyDescent="0.3">
      <c r="B174" s="84" t="s">
        <v>236</v>
      </c>
      <c r="C174" s="76">
        <v>30</v>
      </c>
      <c r="D174" s="77">
        <v>40</v>
      </c>
      <c r="E174" s="76">
        <v>140</v>
      </c>
      <c r="F174" s="77">
        <v>42</v>
      </c>
      <c r="G174" s="92" t="s">
        <v>145</v>
      </c>
      <c r="H174" s="192"/>
      <c r="I174" s="186">
        <v>1738.3472628479997</v>
      </c>
      <c r="J174" s="253"/>
      <c r="K174" s="85">
        <v>4272.6502103040002</v>
      </c>
      <c r="L174" s="76" t="s">
        <v>24</v>
      </c>
      <c r="M174" s="81">
        <v>1450</v>
      </c>
      <c r="N174" s="81">
        <v>178</v>
      </c>
      <c r="O174" s="82">
        <f>0.55*0.72*0.79</f>
        <v>0.31284000000000001</v>
      </c>
    </row>
    <row r="175" spans="2:15" s="47" customFormat="1" ht="18" customHeight="1" thickBot="1" x14ac:dyDescent="0.3">
      <c r="B175" s="84" t="s">
        <v>237</v>
      </c>
      <c r="C175" s="76">
        <v>37</v>
      </c>
      <c r="D175" s="77">
        <v>50</v>
      </c>
      <c r="E175" s="76">
        <v>140</v>
      </c>
      <c r="F175" s="77">
        <v>47.5</v>
      </c>
      <c r="G175" s="92" t="s">
        <v>145</v>
      </c>
      <c r="H175" s="192"/>
      <c r="I175" s="227" t="s">
        <v>28</v>
      </c>
      <c r="J175" s="231"/>
      <c r="K175" s="107" t="s">
        <v>28</v>
      </c>
      <c r="L175" s="76" t="s">
        <v>24</v>
      </c>
      <c r="M175" s="81">
        <v>1450</v>
      </c>
      <c r="N175" s="81">
        <v>179</v>
      </c>
      <c r="O175" s="82">
        <f>0.55*0.72*0.79</f>
        <v>0.31284000000000001</v>
      </c>
    </row>
    <row r="176" spans="2:15" s="47" customFormat="1" ht="18" customHeight="1" thickBot="1" x14ac:dyDescent="0.3">
      <c r="B176" s="84" t="s">
        <v>238</v>
      </c>
      <c r="C176" s="76">
        <v>45</v>
      </c>
      <c r="D176" s="77">
        <v>60</v>
      </c>
      <c r="E176" s="76">
        <v>150</v>
      </c>
      <c r="F176" s="77">
        <v>52</v>
      </c>
      <c r="G176" s="92" t="s">
        <v>145</v>
      </c>
      <c r="H176" s="192"/>
      <c r="I176" s="227" t="s">
        <v>28</v>
      </c>
      <c r="J176" s="231"/>
      <c r="K176" s="107" t="s">
        <v>28</v>
      </c>
      <c r="L176" s="76" t="s">
        <v>24</v>
      </c>
      <c r="M176" s="81">
        <v>1450</v>
      </c>
      <c r="N176" s="81">
        <v>180</v>
      </c>
      <c r="O176" s="82">
        <f>0.55*0.72*0.79</f>
        <v>0.31284000000000001</v>
      </c>
    </row>
    <row r="177" spans="2:15" s="47" customFormat="1" ht="18" customHeight="1" thickBot="1" x14ac:dyDescent="0.3">
      <c r="B177" s="84" t="s">
        <v>239</v>
      </c>
      <c r="C177" s="76">
        <v>55</v>
      </c>
      <c r="D177" s="77">
        <v>75</v>
      </c>
      <c r="E177" s="76">
        <v>150</v>
      </c>
      <c r="F177" s="77">
        <v>59</v>
      </c>
      <c r="G177" s="92" t="s">
        <v>145</v>
      </c>
      <c r="H177" s="192"/>
      <c r="I177" s="227" t="s">
        <v>28</v>
      </c>
      <c r="J177" s="231"/>
      <c r="K177" s="107" t="s">
        <v>28</v>
      </c>
      <c r="L177" s="76" t="s">
        <v>24</v>
      </c>
      <c r="M177" s="81">
        <v>1450</v>
      </c>
      <c r="N177" s="81">
        <v>182</v>
      </c>
      <c r="O177" s="82">
        <f>0.55*0.72*0.79</f>
        <v>0.31284000000000001</v>
      </c>
    </row>
    <row r="178" spans="2:15" s="47" customFormat="1" ht="18" customHeight="1" thickBot="1" x14ac:dyDescent="0.3">
      <c r="B178" s="84" t="s">
        <v>240</v>
      </c>
      <c r="C178" s="76">
        <v>5.5</v>
      </c>
      <c r="D178" s="77">
        <v>7.5</v>
      </c>
      <c r="E178" s="76">
        <v>140</v>
      </c>
      <c r="F178" s="77">
        <v>8.9</v>
      </c>
      <c r="G178" s="92" t="s">
        <v>31</v>
      </c>
      <c r="H178" s="192"/>
      <c r="I178" s="186">
        <v>978.91147871999999</v>
      </c>
      <c r="J178" s="253"/>
      <c r="K178" s="85">
        <v>1953.636529824</v>
      </c>
      <c r="L178" s="76" t="s">
        <v>24</v>
      </c>
      <c r="M178" s="81">
        <v>1450</v>
      </c>
      <c r="N178" s="81">
        <v>112</v>
      </c>
      <c r="O178" s="82">
        <f>0.63*0.48*0.67</f>
        <v>0.20260800000000001</v>
      </c>
    </row>
    <row r="179" spans="2:15" s="47" customFormat="1" ht="18" customHeight="1" thickBot="1" x14ac:dyDescent="0.3">
      <c r="B179" s="84" t="s">
        <v>241</v>
      </c>
      <c r="C179" s="76">
        <v>7.5</v>
      </c>
      <c r="D179" s="77">
        <v>10</v>
      </c>
      <c r="E179" s="76">
        <v>140</v>
      </c>
      <c r="F179" s="77">
        <v>11.9</v>
      </c>
      <c r="G179" s="92" t="s">
        <v>31</v>
      </c>
      <c r="H179" s="192"/>
      <c r="I179" s="186">
        <v>982.65254169599984</v>
      </c>
      <c r="J179" s="253"/>
      <c r="K179" s="85">
        <v>2058.2972202240003</v>
      </c>
      <c r="L179" s="76" t="s">
        <v>24</v>
      </c>
      <c r="M179" s="81">
        <v>1450</v>
      </c>
      <c r="N179" s="81">
        <v>113</v>
      </c>
      <c r="O179" s="82">
        <f>0.63*0.48*0.67</f>
        <v>0.20260800000000001</v>
      </c>
    </row>
    <row r="180" spans="2:15" s="47" customFormat="1" ht="18" customHeight="1" thickBot="1" x14ac:dyDescent="0.3">
      <c r="B180" s="84" t="s">
        <v>242</v>
      </c>
      <c r="C180" s="76">
        <v>11</v>
      </c>
      <c r="D180" s="77">
        <v>15</v>
      </c>
      <c r="E180" s="76">
        <v>150</v>
      </c>
      <c r="F180" s="77">
        <v>15.6</v>
      </c>
      <c r="G180" s="92" t="s">
        <v>31</v>
      </c>
      <c r="H180" s="192"/>
      <c r="I180" s="186">
        <v>987.0171151679998</v>
      </c>
      <c r="J180" s="253"/>
      <c r="K180" s="85">
        <v>2379.7168809119999</v>
      </c>
      <c r="L180" s="76" t="s">
        <v>24</v>
      </c>
      <c r="M180" s="81">
        <v>1450</v>
      </c>
      <c r="N180" s="81">
        <v>114</v>
      </c>
      <c r="O180" s="82">
        <f>0.63*0.48*0.67</f>
        <v>0.20260800000000001</v>
      </c>
    </row>
    <row r="181" spans="2:15" s="47" customFormat="1" ht="18" customHeight="1" thickBot="1" x14ac:dyDescent="0.3">
      <c r="B181" s="84" t="s">
        <v>243</v>
      </c>
      <c r="C181" s="76">
        <v>7.5</v>
      </c>
      <c r="D181" s="77">
        <v>10</v>
      </c>
      <c r="E181" s="76">
        <v>110</v>
      </c>
      <c r="F181" s="77">
        <v>14.6</v>
      </c>
      <c r="G181" s="92" t="s">
        <v>31</v>
      </c>
      <c r="H181" s="192"/>
      <c r="I181" s="186">
        <v>1044.3800808000001</v>
      </c>
      <c r="J181" s="253"/>
      <c r="K181" s="85">
        <v>2249.6704060319998</v>
      </c>
      <c r="L181" s="76" t="s">
        <v>24</v>
      </c>
      <c r="M181" s="81">
        <v>1450</v>
      </c>
      <c r="N181" s="81">
        <v>180</v>
      </c>
      <c r="O181" s="82">
        <f>0.71*0.64*0.79</f>
        <v>0.35897600000000002</v>
      </c>
    </row>
    <row r="182" spans="2:15" s="47" customFormat="1" ht="18" customHeight="1" thickBot="1" x14ac:dyDescent="0.3">
      <c r="B182" s="84" t="s">
        <v>244</v>
      </c>
      <c r="C182" s="76">
        <v>11</v>
      </c>
      <c r="D182" s="77">
        <v>15</v>
      </c>
      <c r="E182" s="76">
        <v>150</v>
      </c>
      <c r="F182" s="77">
        <v>17.8</v>
      </c>
      <c r="G182" s="92" t="s">
        <v>31</v>
      </c>
      <c r="H182" s="192"/>
      <c r="I182" s="186">
        <v>1047.4976332800002</v>
      </c>
      <c r="J182" s="253"/>
      <c r="K182" s="85">
        <v>2569.8430457280001</v>
      </c>
      <c r="L182" s="76" t="s">
        <v>24</v>
      </c>
      <c r="M182" s="81">
        <v>1450</v>
      </c>
      <c r="N182" s="81">
        <v>181</v>
      </c>
      <c r="O182" s="82">
        <v>0.35897600000000002</v>
      </c>
    </row>
    <row r="183" spans="2:15" s="47" customFormat="1" ht="18" customHeight="1" thickBot="1" x14ac:dyDescent="0.3">
      <c r="B183" s="84" t="s">
        <v>245</v>
      </c>
      <c r="C183" s="76">
        <v>15</v>
      </c>
      <c r="D183" s="77">
        <v>20</v>
      </c>
      <c r="E183" s="76">
        <v>200</v>
      </c>
      <c r="F183" s="77">
        <v>19.8</v>
      </c>
      <c r="G183" s="92" t="s">
        <v>31</v>
      </c>
      <c r="H183" s="192"/>
      <c r="I183" s="186">
        <v>1051.862206752</v>
      </c>
      <c r="J183" s="253"/>
      <c r="K183" s="85">
        <v>2772.1276652159995</v>
      </c>
      <c r="L183" s="76" t="s">
        <v>24</v>
      </c>
      <c r="M183" s="81">
        <v>1450</v>
      </c>
      <c r="N183" s="81">
        <v>182</v>
      </c>
      <c r="O183" s="82">
        <v>0.35897600000000002</v>
      </c>
    </row>
    <row r="184" spans="2:15" s="47" customFormat="1" ht="18" customHeight="1" thickBot="1" x14ac:dyDescent="0.3">
      <c r="B184" s="84" t="s">
        <v>246</v>
      </c>
      <c r="C184" s="76">
        <v>18.5</v>
      </c>
      <c r="D184" s="77">
        <v>25</v>
      </c>
      <c r="E184" s="76">
        <v>200</v>
      </c>
      <c r="F184" s="77">
        <v>23</v>
      </c>
      <c r="G184" s="92" t="s">
        <v>31</v>
      </c>
      <c r="H184" s="192"/>
      <c r="I184" s="186">
        <v>1055.6032697279998</v>
      </c>
      <c r="J184" s="253"/>
      <c r="K184" s="85">
        <v>3035.7389956319998</v>
      </c>
      <c r="L184" s="76" t="s">
        <v>24</v>
      </c>
      <c r="M184" s="81">
        <v>1450</v>
      </c>
      <c r="N184" s="81">
        <v>182</v>
      </c>
      <c r="O184" s="82">
        <v>0.35897600000000002</v>
      </c>
    </row>
    <row r="185" spans="2:15" s="47" customFormat="1" ht="18" customHeight="1" thickBot="1" x14ac:dyDescent="0.3">
      <c r="B185" s="84" t="s">
        <v>247</v>
      </c>
      <c r="C185" s="76">
        <v>18.5</v>
      </c>
      <c r="D185" s="77">
        <v>25</v>
      </c>
      <c r="E185" s="76">
        <v>200</v>
      </c>
      <c r="F185" s="77">
        <v>23.3</v>
      </c>
      <c r="G185" s="92" t="s">
        <v>31</v>
      </c>
      <c r="H185" s="192"/>
      <c r="I185" s="186">
        <v>1304.3839576320001</v>
      </c>
      <c r="J185" s="253"/>
      <c r="K185" s="85">
        <v>3350.1218950079997</v>
      </c>
      <c r="L185" s="76" t="s">
        <v>24</v>
      </c>
      <c r="M185" s="81">
        <v>1450</v>
      </c>
      <c r="N185" s="81">
        <v>186</v>
      </c>
      <c r="O185" s="82">
        <v>0.30199999999999999</v>
      </c>
    </row>
    <row r="186" spans="2:15" s="47" customFormat="1" ht="18" customHeight="1" thickBot="1" x14ac:dyDescent="0.3">
      <c r="B186" s="84" t="s">
        <v>248</v>
      </c>
      <c r="C186" s="76">
        <v>22</v>
      </c>
      <c r="D186" s="77">
        <v>30</v>
      </c>
      <c r="E186" s="76">
        <v>200</v>
      </c>
      <c r="F186" s="77">
        <v>26.5</v>
      </c>
      <c r="G186" s="92" t="s">
        <v>31</v>
      </c>
      <c r="H186" s="192"/>
      <c r="I186" s="186">
        <v>1307.189754864</v>
      </c>
      <c r="J186" s="253"/>
      <c r="K186" s="85">
        <v>3487.5614229119997</v>
      </c>
      <c r="L186" s="76" t="s">
        <v>24</v>
      </c>
      <c r="M186" s="81">
        <v>1450</v>
      </c>
      <c r="N186" s="81">
        <v>188</v>
      </c>
      <c r="O186" s="82">
        <v>0.30199999999999999</v>
      </c>
    </row>
    <row r="187" spans="2:15" s="47" customFormat="1" ht="18" customHeight="1" thickBot="1" x14ac:dyDescent="0.3">
      <c r="B187" s="84" t="s">
        <v>249</v>
      </c>
      <c r="C187" s="76">
        <v>30</v>
      </c>
      <c r="D187" s="77">
        <v>40</v>
      </c>
      <c r="E187" s="76">
        <v>200</v>
      </c>
      <c r="F187" s="77">
        <v>32.9</v>
      </c>
      <c r="G187" s="92" t="s">
        <v>31</v>
      </c>
      <c r="H187" s="192"/>
      <c r="I187" s="186">
        <v>1310.9308178399999</v>
      </c>
      <c r="J187" s="253"/>
      <c r="K187" s="85">
        <v>3868.0809713280005</v>
      </c>
      <c r="L187" s="76" t="s">
        <v>24</v>
      </c>
      <c r="M187" s="81">
        <v>1450</v>
      </c>
      <c r="N187" s="81">
        <v>190</v>
      </c>
      <c r="O187" s="82">
        <v>0.30199999999999999</v>
      </c>
    </row>
    <row r="188" spans="2:15" s="47" customFormat="1" ht="18" customHeight="1" thickBot="1" x14ac:dyDescent="0.3">
      <c r="B188" s="84" t="s">
        <v>250</v>
      </c>
      <c r="C188" s="76">
        <v>37</v>
      </c>
      <c r="D188" s="77">
        <v>50</v>
      </c>
      <c r="E188" s="76">
        <v>250</v>
      </c>
      <c r="F188" s="77">
        <v>33.1</v>
      </c>
      <c r="G188" s="92" t="s">
        <v>31</v>
      </c>
      <c r="H188" s="192"/>
      <c r="I188" s="227" t="s">
        <v>28</v>
      </c>
      <c r="J188" s="231"/>
      <c r="K188" s="107" t="s">
        <v>28</v>
      </c>
      <c r="L188" s="76" t="s">
        <v>24</v>
      </c>
      <c r="M188" s="81">
        <v>1450</v>
      </c>
      <c r="N188" s="81">
        <v>192</v>
      </c>
      <c r="O188" s="82">
        <v>0.30199999999999999</v>
      </c>
    </row>
    <row r="189" spans="2:15" s="47" customFormat="1" ht="18" customHeight="1" thickBot="1" x14ac:dyDescent="0.3">
      <c r="B189" s="84" t="s">
        <v>251</v>
      </c>
      <c r="C189" s="76">
        <v>30</v>
      </c>
      <c r="D189" s="77">
        <v>40</v>
      </c>
      <c r="E189" s="76">
        <v>200</v>
      </c>
      <c r="F189" s="77">
        <v>34.4</v>
      </c>
      <c r="G189" s="92" t="s">
        <v>31</v>
      </c>
      <c r="H189" s="192"/>
      <c r="I189" s="186">
        <v>1808.492193648</v>
      </c>
      <c r="J189" s="253"/>
      <c r="K189" s="85">
        <v>4415.8794785279997</v>
      </c>
      <c r="L189" s="76" t="s">
        <v>24</v>
      </c>
      <c r="M189" s="81">
        <v>1450</v>
      </c>
      <c r="N189" s="81">
        <v>201</v>
      </c>
      <c r="O189" s="82">
        <f t="shared" ref="O189:O194" si="1">0.55*0.72*0.87</f>
        <v>0.34451999999999999</v>
      </c>
    </row>
    <row r="190" spans="2:15" s="47" customFormat="1" ht="18" customHeight="1" thickBot="1" x14ac:dyDescent="0.3">
      <c r="B190" s="84" t="s">
        <v>252</v>
      </c>
      <c r="C190" s="76">
        <v>37</v>
      </c>
      <c r="D190" s="77">
        <v>50</v>
      </c>
      <c r="E190" s="76">
        <v>200</v>
      </c>
      <c r="F190" s="77">
        <v>40.700000000000003</v>
      </c>
      <c r="G190" s="92" t="s">
        <v>31</v>
      </c>
      <c r="H190" s="192"/>
      <c r="I190" s="227" t="s">
        <v>28</v>
      </c>
      <c r="J190" s="231"/>
      <c r="K190" s="107" t="s">
        <v>28</v>
      </c>
      <c r="L190" s="76" t="s">
        <v>24</v>
      </c>
      <c r="M190" s="81">
        <v>1450</v>
      </c>
      <c r="N190" s="81">
        <v>202</v>
      </c>
      <c r="O190" s="82">
        <f t="shared" si="1"/>
        <v>0.34451999999999999</v>
      </c>
    </row>
    <row r="191" spans="2:15" s="47" customFormat="1" ht="18" customHeight="1" thickBot="1" x14ac:dyDescent="0.3">
      <c r="B191" s="84" t="s">
        <v>253</v>
      </c>
      <c r="C191" s="76">
        <v>45</v>
      </c>
      <c r="D191" s="77">
        <v>60</v>
      </c>
      <c r="E191" s="76">
        <v>200</v>
      </c>
      <c r="F191" s="77">
        <v>47</v>
      </c>
      <c r="G191" s="92" t="s">
        <v>31</v>
      </c>
      <c r="H191" s="192"/>
      <c r="I191" s="227" t="s">
        <v>28</v>
      </c>
      <c r="J191" s="231"/>
      <c r="K191" s="107" t="s">
        <v>28</v>
      </c>
      <c r="L191" s="76" t="s">
        <v>24</v>
      </c>
      <c r="M191" s="81">
        <v>1450</v>
      </c>
      <c r="N191" s="81">
        <v>203</v>
      </c>
      <c r="O191" s="82">
        <f t="shared" si="1"/>
        <v>0.34451999999999999</v>
      </c>
    </row>
    <row r="192" spans="2:15" s="47" customFormat="1" ht="18" customHeight="1" thickBot="1" x14ac:dyDescent="0.3">
      <c r="B192" s="84" t="s">
        <v>254</v>
      </c>
      <c r="C192" s="76">
        <v>55</v>
      </c>
      <c r="D192" s="77">
        <v>75</v>
      </c>
      <c r="E192" s="76">
        <v>250</v>
      </c>
      <c r="F192" s="77">
        <v>50.3</v>
      </c>
      <c r="G192" s="92" t="s">
        <v>31</v>
      </c>
      <c r="H192" s="192"/>
      <c r="I192" s="227" t="s">
        <v>28</v>
      </c>
      <c r="J192" s="231"/>
      <c r="K192" s="107" t="s">
        <v>28</v>
      </c>
      <c r="L192" s="76" t="s">
        <v>24</v>
      </c>
      <c r="M192" s="81">
        <v>1450</v>
      </c>
      <c r="N192" s="81">
        <v>204</v>
      </c>
      <c r="O192" s="82">
        <f t="shared" si="1"/>
        <v>0.34451999999999999</v>
      </c>
    </row>
    <row r="193" spans="2:15" s="47" customFormat="1" ht="18" customHeight="1" thickBot="1" x14ac:dyDescent="0.3">
      <c r="B193" s="84" t="s">
        <v>255</v>
      </c>
      <c r="C193" s="76">
        <v>75</v>
      </c>
      <c r="D193" s="77">
        <v>100</v>
      </c>
      <c r="E193" s="76">
        <v>250</v>
      </c>
      <c r="F193" s="77">
        <v>58.3</v>
      </c>
      <c r="G193" s="92" t="s">
        <v>31</v>
      </c>
      <c r="H193" s="192"/>
      <c r="I193" s="227" t="s">
        <v>28</v>
      </c>
      <c r="J193" s="231"/>
      <c r="K193" s="107" t="s">
        <v>28</v>
      </c>
      <c r="L193" s="76" t="s">
        <v>24</v>
      </c>
      <c r="M193" s="81">
        <v>1450</v>
      </c>
      <c r="N193" s="81">
        <v>205</v>
      </c>
      <c r="O193" s="82">
        <f t="shared" si="1"/>
        <v>0.34451999999999999</v>
      </c>
    </row>
    <row r="194" spans="2:15" s="47" customFormat="1" ht="18" customHeight="1" thickBot="1" x14ac:dyDescent="0.3">
      <c r="B194" s="84" t="s">
        <v>256</v>
      </c>
      <c r="C194" s="76">
        <v>90</v>
      </c>
      <c r="D194" s="77">
        <v>125</v>
      </c>
      <c r="E194" s="76">
        <v>250</v>
      </c>
      <c r="F194" s="77">
        <v>63.8</v>
      </c>
      <c r="G194" s="92" t="s">
        <v>31</v>
      </c>
      <c r="H194" s="192"/>
      <c r="I194" s="227" t="s">
        <v>28</v>
      </c>
      <c r="J194" s="231"/>
      <c r="K194" s="107" t="s">
        <v>28</v>
      </c>
      <c r="L194" s="76" t="s">
        <v>24</v>
      </c>
      <c r="M194" s="81">
        <v>1450</v>
      </c>
      <c r="N194" s="81">
        <v>206</v>
      </c>
      <c r="O194" s="82">
        <f t="shared" si="1"/>
        <v>0.34451999999999999</v>
      </c>
    </row>
    <row r="195" spans="2:15" s="47" customFormat="1" ht="18" customHeight="1" thickBot="1" x14ac:dyDescent="0.3">
      <c r="B195" s="84" t="s">
        <v>257</v>
      </c>
      <c r="C195" s="76">
        <v>11</v>
      </c>
      <c r="D195" s="77">
        <v>15</v>
      </c>
      <c r="E195" s="76">
        <v>250</v>
      </c>
      <c r="F195" s="77">
        <v>12.9</v>
      </c>
      <c r="G195" s="92" t="s">
        <v>178</v>
      </c>
      <c r="H195" s="192"/>
      <c r="I195" s="186">
        <v>1275.0789643199998</v>
      </c>
      <c r="J195" s="253"/>
      <c r="K195" s="85">
        <v>2811.3197535359996</v>
      </c>
      <c r="L195" s="76" t="s">
        <v>24</v>
      </c>
      <c r="M195" s="81">
        <v>1450</v>
      </c>
      <c r="N195" s="81">
        <v>166</v>
      </c>
      <c r="O195" s="82">
        <f>0.65*0.62*0.79</f>
        <v>0.31837000000000004</v>
      </c>
    </row>
    <row r="196" spans="2:15" s="47" customFormat="1" ht="18" customHeight="1" thickBot="1" x14ac:dyDescent="0.3">
      <c r="B196" s="84" t="s">
        <v>258</v>
      </c>
      <c r="C196" s="76">
        <v>15</v>
      </c>
      <c r="D196" s="77">
        <v>20</v>
      </c>
      <c r="E196" s="76">
        <v>250</v>
      </c>
      <c r="F196" s="77">
        <v>14.3</v>
      </c>
      <c r="G196" s="92" t="s">
        <v>178</v>
      </c>
      <c r="H196" s="192"/>
      <c r="I196" s="186">
        <v>1280.0670482879998</v>
      </c>
      <c r="J196" s="253"/>
      <c r="K196" s="85">
        <v>3014.22788352</v>
      </c>
      <c r="L196" s="76" t="s">
        <v>24</v>
      </c>
      <c r="M196" s="81">
        <v>1450</v>
      </c>
      <c r="N196" s="81">
        <v>167</v>
      </c>
      <c r="O196" s="82">
        <f>0.65*0.62*0.79</f>
        <v>0.31837000000000004</v>
      </c>
    </row>
    <row r="197" spans="2:15" s="47" customFormat="1" ht="18" customHeight="1" thickBot="1" x14ac:dyDescent="0.3">
      <c r="B197" s="84" t="s">
        <v>259</v>
      </c>
      <c r="C197" s="76">
        <v>18.5</v>
      </c>
      <c r="D197" s="77">
        <v>25</v>
      </c>
      <c r="E197" s="76">
        <v>300</v>
      </c>
      <c r="F197" s="77">
        <v>15.5</v>
      </c>
      <c r="G197" s="92" t="s">
        <v>178</v>
      </c>
      <c r="H197" s="192"/>
      <c r="I197" s="186">
        <v>1284.7433770079999</v>
      </c>
      <c r="J197" s="253"/>
      <c r="K197" s="85">
        <v>3278.8190161440002</v>
      </c>
      <c r="L197" s="76" t="s">
        <v>24</v>
      </c>
      <c r="M197" s="81">
        <v>1450</v>
      </c>
      <c r="N197" s="81">
        <v>168</v>
      </c>
      <c r="O197" s="82">
        <f>0.65*0.62*0.79</f>
        <v>0.31837000000000004</v>
      </c>
    </row>
    <row r="198" spans="2:15" s="47" customFormat="1" ht="18" customHeight="1" thickBot="1" x14ac:dyDescent="0.3">
      <c r="B198" s="84" t="s">
        <v>260</v>
      </c>
      <c r="C198" s="76">
        <v>22</v>
      </c>
      <c r="D198" s="77">
        <v>30</v>
      </c>
      <c r="E198" s="76">
        <v>300</v>
      </c>
      <c r="F198" s="77">
        <v>17.5</v>
      </c>
      <c r="G198" s="92" t="s">
        <v>178</v>
      </c>
      <c r="H198" s="192"/>
      <c r="I198" s="186">
        <v>1289.7314609760001</v>
      </c>
      <c r="J198" s="253"/>
      <c r="K198" s="85">
        <v>3540.20352336</v>
      </c>
      <c r="L198" s="76" t="s">
        <v>24</v>
      </c>
      <c r="M198" s="81">
        <v>1450</v>
      </c>
      <c r="N198" s="81">
        <v>170</v>
      </c>
      <c r="O198" s="82">
        <f>0.65*0.62*0.79</f>
        <v>0.31837000000000004</v>
      </c>
    </row>
    <row r="199" spans="2:15" s="47" customFormat="1" ht="18" customHeight="1" thickBot="1" x14ac:dyDescent="0.3">
      <c r="B199" s="84" t="s">
        <v>261</v>
      </c>
      <c r="C199" s="76">
        <v>15</v>
      </c>
      <c r="D199" s="77">
        <v>20</v>
      </c>
      <c r="E199" s="76">
        <v>250</v>
      </c>
      <c r="F199" s="77">
        <v>14.7</v>
      </c>
      <c r="G199" s="92" t="s">
        <v>178</v>
      </c>
      <c r="H199" s="192"/>
      <c r="I199" s="186">
        <v>1646.6912199359999</v>
      </c>
      <c r="J199" s="253"/>
      <c r="K199" s="85">
        <v>3427.1699777279996</v>
      </c>
      <c r="L199" s="76" t="s">
        <v>24</v>
      </c>
      <c r="M199" s="81">
        <v>1450</v>
      </c>
      <c r="N199" s="81">
        <v>180</v>
      </c>
      <c r="O199" s="82">
        <f>0.71*0.64*0.79</f>
        <v>0.35897600000000002</v>
      </c>
    </row>
    <row r="200" spans="2:15" s="47" customFormat="1" ht="18" customHeight="1" thickBot="1" x14ac:dyDescent="0.3">
      <c r="B200" s="84" t="s">
        <v>262</v>
      </c>
      <c r="C200" s="76">
        <v>18.5</v>
      </c>
      <c r="D200" s="77">
        <v>25</v>
      </c>
      <c r="E200" s="76">
        <v>300</v>
      </c>
      <c r="F200" s="77">
        <v>17.5</v>
      </c>
      <c r="G200" s="92" t="s">
        <v>178</v>
      </c>
      <c r="H200" s="192"/>
      <c r="I200" s="186">
        <v>1653.2380801439997</v>
      </c>
      <c r="J200" s="253"/>
      <c r="K200" s="85">
        <v>3693.7207147680001</v>
      </c>
      <c r="L200" s="76" t="s">
        <v>24</v>
      </c>
      <c r="M200" s="81">
        <v>1450</v>
      </c>
      <c r="N200" s="81">
        <v>181</v>
      </c>
      <c r="O200" s="82">
        <v>0.35897600000000002</v>
      </c>
    </row>
    <row r="201" spans="2:15" s="47" customFormat="1" ht="18" customHeight="1" thickBot="1" x14ac:dyDescent="0.3">
      <c r="B201" s="84" t="s">
        <v>263</v>
      </c>
      <c r="C201" s="76">
        <v>22</v>
      </c>
      <c r="D201" s="77">
        <v>30</v>
      </c>
      <c r="E201" s="76">
        <v>300</v>
      </c>
      <c r="F201" s="77">
        <v>20.8</v>
      </c>
      <c r="G201" s="92" t="s">
        <v>178</v>
      </c>
      <c r="H201" s="192"/>
      <c r="I201" s="186">
        <v>1659.7849403519999</v>
      </c>
      <c r="J201" s="253"/>
      <c r="K201" s="85">
        <v>3857.7930481440003</v>
      </c>
      <c r="L201" s="76" t="s">
        <v>24</v>
      </c>
      <c r="M201" s="81">
        <v>1450</v>
      </c>
      <c r="N201" s="81">
        <v>182</v>
      </c>
      <c r="O201" s="82">
        <v>0.35897600000000002</v>
      </c>
    </row>
    <row r="202" spans="2:15" s="47" customFormat="1" ht="18" customHeight="1" thickBot="1" x14ac:dyDescent="0.3">
      <c r="B202" s="84" t="s">
        <v>264</v>
      </c>
      <c r="C202" s="76">
        <v>30</v>
      </c>
      <c r="D202" s="77">
        <v>40</v>
      </c>
      <c r="E202" s="76">
        <v>300</v>
      </c>
      <c r="F202" s="77">
        <v>22</v>
      </c>
      <c r="G202" s="92" t="s">
        <v>178</v>
      </c>
      <c r="H202" s="192"/>
      <c r="I202" s="186">
        <v>1666.3318005599999</v>
      </c>
      <c r="J202" s="253"/>
      <c r="K202" s="85">
        <v>4205.5337590560002</v>
      </c>
      <c r="L202" s="76" t="s">
        <v>24</v>
      </c>
      <c r="M202" s="81">
        <v>1450</v>
      </c>
      <c r="N202" s="81">
        <v>182</v>
      </c>
      <c r="O202" s="82">
        <v>0.35897600000000002</v>
      </c>
    </row>
    <row r="203" spans="2:15" s="47" customFormat="1" ht="18" customHeight="1" thickBot="1" x14ac:dyDescent="0.3">
      <c r="B203" s="84" t="s">
        <v>265</v>
      </c>
      <c r="C203" s="76">
        <v>30</v>
      </c>
      <c r="D203" s="77">
        <v>40</v>
      </c>
      <c r="E203" s="76">
        <v>250</v>
      </c>
      <c r="F203" s="77">
        <v>27.9</v>
      </c>
      <c r="G203" s="92" t="s">
        <v>178</v>
      </c>
      <c r="H203" s="192"/>
      <c r="I203" s="186">
        <v>2065.6902732480003</v>
      </c>
      <c r="J203" s="253"/>
      <c r="K203" s="85">
        <v>4737.610894464</v>
      </c>
      <c r="L203" s="76" t="s">
        <v>24</v>
      </c>
      <c r="M203" s="81">
        <v>1450</v>
      </c>
      <c r="N203" s="81">
        <v>196</v>
      </c>
      <c r="O203" s="82">
        <f>0.73*0.66*0.79</f>
        <v>0.38062200000000002</v>
      </c>
    </row>
    <row r="204" spans="2:15" s="47" customFormat="1" ht="18" customHeight="1" thickBot="1" x14ac:dyDescent="0.3">
      <c r="B204" s="84" t="s">
        <v>266</v>
      </c>
      <c r="C204" s="76">
        <v>37</v>
      </c>
      <c r="D204" s="77">
        <v>50</v>
      </c>
      <c r="E204" s="76">
        <v>300</v>
      </c>
      <c r="F204" s="77">
        <v>30.4</v>
      </c>
      <c r="G204" s="92" t="s">
        <v>178</v>
      </c>
      <c r="H204" s="192"/>
      <c r="I204" s="227" t="s">
        <v>28</v>
      </c>
      <c r="J204" s="231"/>
      <c r="K204" s="107" t="s">
        <v>28</v>
      </c>
      <c r="L204" s="76" t="s">
        <v>24</v>
      </c>
      <c r="M204" s="81">
        <v>1450</v>
      </c>
      <c r="N204" s="81">
        <v>197</v>
      </c>
      <c r="O204" s="82">
        <v>0.38062200000000002</v>
      </c>
    </row>
    <row r="205" spans="2:15" s="47" customFormat="1" ht="18" customHeight="1" thickBot="1" x14ac:dyDescent="0.3">
      <c r="B205" s="84" t="s">
        <v>267</v>
      </c>
      <c r="C205" s="76">
        <v>45</v>
      </c>
      <c r="D205" s="77">
        <v>60</v>
      </c>
      <c r="E205" s="76">
        <v>300</v>
      </c>
      <c r="F205" s="77">
        <v>34.700000000000003</v>
      </c>
      <c r="G205" s="92" t="s">
        <v>178</v>
      </c>
      <c r="H205" s="192"/>
      <c r="I205" s="227" t="s">
        <v>28</v>
      </c>
      <c r="J205" s="231"/>
      <c r="K205" s="107" t="s">
        <v>28</v>
      </c>
      <c r="L205" s="76" t="s">
        <v>24</v>
      </c>
      <c r="M205" s="81">
        <v>1450</v>
      </c>
      <c r="N205" s="81">
        <v>198</v>
      </c>
      <c r="O205" s="82">
        <v>0.38062200000000002</v>
      </c>
    </row>
    <row r="206" spans="2:15" s="47" customFormat="1" ht="18" customHeight="1" thickBot="1" x14ac:dyDescent="0.3">
      <c r="B206" s="84" t="s">
        <v>268</v>
      </c>
      <c r="C206" s="76">
        <v>55</v>
      </c>
      <c r="D206" s="77">
        <v>75</v>
      </c>
      <c r="E206" s="76">
        <v>300</v>
      </c>
      <c r="F206" s="77">
        <v>37.200000000000003</v>
      </c>
      <c r="G206" s="92" t="s">
        <v>178</v>
      </c>
      <c r="H206" s="192"/>
      <c r="I206" s="227" t="s">
        <v>28</v>
      </c>
      <c r="J206" s="231"/>
      <c r="K206" s="107" t="s">
        <v>28</v>
      </c>
      <c r="L206" s="76" t="s">
        <v>24</v>
      </c>
      <c r="M206" s="81">
        <v>1450</v>
      </c>
      <c r="N206" s="81">
        <v>198</v>
      </c>
      <c r="O206" s="82">
        <v>0.38062200000000002</v>
      </c>
    </row>
    <row r="207" spans="2:15" s="47" customFormat="1" ht="18" customHeight="1" thickBot="1" x14ac:dyDescent="0.3">
      <c r="B207" s="84" t="s">
        <v>269</v>
      </c>
      <c r="C207" s="76">
        <v>75</v>
      </c>
      <c r="D207" s="77">
        <v>100</v>
      </c>
      <c r="E207" s="76">
        <v>400</v>
      </c>
      <c r="F207" s="77">
        <v>40.9</v>
      </c>
      <c r="G207" s="92" t="s">
        <v>178</v>
      </c>
      <c r="H207" s="192"/>
      <c r="I207" s="227" t="s">
        <v>28</v>
      </c>
      <c r="J207" s="231"/>
      <c r="K207" s="107" t="s">
        <v>28</v>
      </c>
      <c r="L207" s="76" t="s">
        <v>24</v>
      </c>
      <c r="M207" s="81">
        <v>1450</v>
      </c>
      <c r="N207" s="81">
        <v>198</v>
      </c>
      <c r="O207" s="82">
        <v>0.38062200000000002</v>
      </c>
    </row>
    <row r="208" spans="2:15" s="47" customFormat="1" ht="18" customHeight="1" thickBot="1" x14ac:dyDescent="0.3">
      <c r="B208" s="84" t="s">
        <v>270</v>
      </c>
      <c r="C208" s="76">
        <v>55</v>
      </c>
      <c r="D208" s="77">
        <v>75</v>
      </c>
      <c r="E208" s="76">
        <v>300</v>
      </c>
      <c r="F208" s="77">
        <v>42</v>
      </c>
      <c r="G208" s="92" t="s">
        <v>178</v>
      </c>
      <c r="H208" s="192"/>
      <c r="I208" s="227" t="s">
        <v>28</v>
      </c>
      <c r="J208" s="231"/>
      <c r="K208" s="107" t="s">
        <v>28</v>
      </c>
      <c r="L208" s="76" t="s">
        <v>24</v>
      </c>
      <c r="M208" s="81">
        <v>1450</v>
      </c>
      <c r="N208" s="81">
        <v>228</v>
      </c>
      <c r="O208" s="82">
        <f>0.6*0.74*0.92</f>
        <v>0.40848000000000001</v>
      </c>
    </row>
    <row r="209" spans="2:15" s="47" customFormat="1" ht="18" customHeight="1" thickBot="1" x14ac:dyDescent="0.3">
      <c r="B209" s="84" t="s">
        <v>271</v>
      </c>
      <c r="C209" s="76">
        <v>75</v>
      </c>
      <c r="D209" s="77">
        <v>100</v>
      </c>
      <c r="E209" s="76">
        <v>400</v>
      </c>
      <c r="F209" s="77">
        <v>47</v>
      </c>
      <c r="G209" s="92" t="s">
        <v>178</v>
      </c>
      <c r="H209" s="192"/>
      <c r="I209" s="227" t="s">
        <v>28</v>
      </c>
      <c r="J209" s="231"/>
      <c r="K209" s="107" t="s">
        <v>28</v>
      </c>
      <c r="L209" s="76" t="s">
        <v>24</v>
      </c>
      <c r="M209" s="81">
        <v>1450</v>
      </c>
      <c r="N209" s="81">
        <v>229</v>
      </c>
      <c r="O209" s="82">
        <f>0.6*0.74*0.92</f>
        <v>0.40848000000000001</v>
      </c>
    </row>
    <row r="210" spans="2:15" s="47" customFormat="1" ht="18" customHeight="1" thickBot="1" x14ac:dyDescent="0.3">
      <c r="B210" s="84" t="s">
        <v>272</v>
      </c>
      <c r="C210" s="76">
        <v>90</v>
      </c>
      <c r="D210" s="77">
        <v>125</v>
      </c>
      <c r="E210" s="76">
        <v>400</v>
      </c>
      <c r="F210" s="77">
        <v>52</v>
      </c>
      <c r="G210" s="92" t="s">
        <v>178</v>
      </c>
      <c r="H210" s="192"/>
      <c r="I210" s="227" t="s">
        <v>28</v>
      </c>
      <c r="J210" s="231"/>
      <c r="K210" s="107" t="s">
        <v>28</v>
      </c>
      <c r="L210" s="76" t="s">
        <v>24</v>
      </c>
      <c r="M210" s="81">
        <v>1450</v>
      </c>
      <c r="N210" s="81">
        <v>230</v>
      </c>
      <c r="O210" s="82">
        <f>0.6*0.74*0.92</f>
        <v>0.40848000000000001</v>
      </c>
    </row>
    <row r="211" spans="2:15" s="47" customFormat="1" ht="18" customHeight="1" thickBot="1" x14ac:dyDescent="0.3">
      <c r="B211" s="84" t="s">
        <v>273</v>
      </c>
      <c r="C211" s="76">
        <v>110</v>
      </c>
      <c r="D211" s="77">
        <v>150</v>
      </c>
      <c r="E211" s="76">
        <v>400</v>
      </c>
      <c r="F211" s="77">
        <v>58</v>
      </c>
      <c r="G211" s="92" t="s">
        <v>178</v>
      </c>
      <c r="H211" s="192"/>
      <c r="I211" s="227" t="s">
        <v>28</v>
      </c>
      <c r="J211" s="231"/>
      <c r="K211" s="107" t="s">
        <v>28</v>
      </c>
      <c r="L211" s="76" t="s">
        <v>24</v>
      </c>
      <c r="M211" s="81">
        <v>1450</v>
      </c>
      <c r="N211" s="81">
        <v>231</v>
      </c>
      <c r="O211" s="82">
        <f>0.6*0.74*0.92</f>
        <v>0.40848000000000001</v>
      </c>
    </row>
    <row r="212" spans="2:15" s="47" customFormat="1" ht="18" customHeight="1" thickBot="1" x14ac:dyDescent="0.3">
      <c r="B212" s="84" t="s">
        <v>274</v>
      </c>
      <c r="C212" s="76">
        <v>132</v>
      </c>
      <c r="D212" s="77">
        <v>180</v>
      </c>
      <c r="E212" s="76">
        <v>400</v>
      </c>
      <c r="F212" s="77">
        <v>64.5</v>
      </c>
      <c r="G212" s="92" t="s">
        <v>178</v>
      </c>
      <c r="H212" s="192"/>
      <c r="I212" s="227" t="s">
        <v>28</v>
      </c>
      <c r="J212" s="231"/>
      <c r="K212" s="107" t="s">
        <v>28</v>
      </c>
      <c r="L212" s="76" t="s">
        <v>24</v>
      </c>
      <c r="M212" s="81">
        <v>1450</v>
      </c>
      <c r="N212" s="81">
        <v>233</v>
      </c>
      <c r="O212" s="82">
        <f>0.6*0.74*0.92</f>
        <v>0.40848000000000001</v>
      </c>
    </row>
    <row r="213" spans="2:15" s="47" customFormat="1" ht="18" customHeight="1" thickBot="1" x14ac:dyDescent="0.3">
      <c r="B213" s="84" t="s">
        <v>275</v>
      </c>
      <c r="C213" s="76">
        <v>37</v>
      </c>
      <c r="D213" s="77">
        <v>50</v>
      </c>
      <c r="E213" s="76">
        <v>500</v>
      </c>
      <c r="F213" s="77">
        <v>18.3</v>
      </c>
      <c r="G213" s="92" t="s">
        <v>276</v>
      </c>
      <c r="H213" s="192"/>
      <c r="I213" s="227" t="s">
        <v>28</v>
      </c>
      <c r="J213" s="231"/>
      <c r="K213" s="107" t="s">
        <v>28</v>
      </c>
      <c r="L213" s="76" t="s">
        <v>24</v>
      </c>
      <c r="M213" s="81">
        <v>1450</v>
      </c>
      <c r="N213" s="81">
        <v>230</v>
      </c>
      <c r="O213" s="113">
        <f>0.6*0.76*0.95</f>
        <v>0.43319999999999992</v>
      </c>
    </row>
    <row r="214" spans="2:15" s="47" customFormat="1" ht="18" customHeight="1" thickBot="1" x14ac:dyDescent="0.3">
      <c r="B214" s="84" t="s">
        <v>277</v>
      </c>
      <c r="C214" s="76">
        <v>45</v>
      </c>
      <c r="D214" s="77">
        <v>60</v>
      </c>
      <c r="E214" s="76">
        <v>500</v>
      </c>
      <c r="F214" s="77">
        <v>21.3</v>
      </c>
      <c r="G214" s="92" t="s">
        <v>276</v>
      </c>
      <c r="H214" s="192"/>
      <c r="I214" s="227" t="s">
        <v>28</v>
      </c>
      <c r="J214" s="231"/>
      <c r="K214" s="107" t="s">
        <v>28</v>
      </c>
      <c r="L214" s="76" t="s">
        <v>24</v>
      </c>
      <c r="M214" s="81">
        <v>1450</v>
      </c>
      <c r="N214" s="81">
        <v>231</v>
      </c>
      <c r="O214" s="113">
        <f>0.6*0.76*0.95</f>
        <v>0.43319999999999992</v>
      </c>
    </row>
    <row r="215" spans="2:15" s="47" customFormat="1" ht="18" customHeight="1" thickBot="1" x14ac:dyDescent="0.3">
      <c r="B215" s="84" t="s">
        <v>278</v>
      </c>
      <c r="C215" s="76">
        <v>55</v>
      </c>
      <c r="D215" s="77">
        <v>75</v>
      </c>
      <c r="E215" s="76">
        <v>500</v>
      </c>
      <c r="F215" s="77">
        <v>26</v>
      </c>
      <c r="G215" s="92" t="s">
        <v>276</v>
      </c>
      <c r="H215" s="192"/>
      <c r="I215" s="227" t="s">
        <v>28</v>
      </c>
      <c r="J215" s="231"/>
      <c r="K215" s="107" t="s">
        <v>28</v>
      </c>
      <c r="L215" s="76" t="s">
        <v>24</v>
      </c>
      <c r="M215" s="81">
        <v>1450</v>
      </c>
      <c r="N215" s="81">
        <v>232</v>
      </c>
      <c r="O215" s="113">
        <f>0.6*0.76*0.95</f>
        <v>0.43319999999999992</v>
      </c>
    </row>
    <row r="216" spans="2:15" s="47" customFormat="1" ht="18" customHeight="1" thickBot="1" x14ac:dyDescent="0.3">
      <c r="B216" s="84" t="s">
        <v>279</v>
      </c>
      <c r="C216" s="76">
        <v>55</v>
      </c>
      <c r="D216" s="77">
        <v>75</v>
      </c>
      <c r="E216" s="76">
        <v>500</v>
      </c>
      <c r="F216" s="77">
        <v>27.5</v>
      </c>
      <c r="G216" s="92" t="s">
        <v>276</v>
      </c>
      <c r="H216" s="192"/>
      <c r="I216" s="227" t="s">
        <v>28</v>
      </c>
      <c r="J216" s="231"/>
      <c r="K216" s="107" t="s">
        <v>28</v>
      </c>
      <c r="L216" s="76" t="s">
        <v>24</v>
      </c>
      <c r="M216" s="81">
        <v>1450</v>
      </c>
      <c r="N216" s="81">
        <v>234</v>
      </c>
      <c r="O216" s="82">
        <f>0.6*0.86*1.1</f>
        <v>0.5676000000000001</v>
      </c>
    </row>
    <row r="217" spans="2:15" s="47" customFormat="1" ht="18" customHeight="1" thickBot="1" x14ac:dyDescent="0.3">
      <c r="B217" s="84" t="s">
        <v>280</v>
      </c>
      <c r="C217" s="76">
        <v>75</v>
      </c>
      <c r="D217" s="77">
        <v>100</v>
      </c>
      <c r="E217" s="76">
        <v>500</v>
      </c>
      <c r="F217" s="77">
        <v>31.5</v>
      </c>
      <c r="G217" s="92" t="s">
        <v>276</v>
      </c>
      <c r="H217" s="192"/>
      <c r="I217" s="227" t="s">
        <v>28</v>
      </c>
      <c r="J217" s="231"/>
      <c r="K217" s="107" t="s">
        <v>28</v>
      </c>
      <c r="L217" s="76" t="s">
        <v>24</v>
      </c>
      <c r="M217" s="81">
        <v>1450</v>
      </c>
      <c r="N217" s="81">
        <v>235</v>
      </c>
      <c r="O217" s="82">
        <f>0.6*0.86*1.1</f>
        <v>0.5676000000000001</v>
      </c>
    </row>
    <row r="218" spans="2:15" s="47" customFormat="1" ht="18" customHeight="1" thickBot="1" x14ac:dyDescent="0.3">
      <c r="B218" s="84" t="s">
        <v>281</v>
      </c>
      <c r="C218" s="76">
        <v>90</v>
      </c>
      <c r="D218" s="77">
        <v>125</v>
      </c>
      <c r="E218" s="76">
        <v>500</v>
      </c>
      <c r="F218" s="77">
        <v>38.5</v>
      </c>
      <c r="G218" s="92" t="s">
        <v>276</v>
      </c>
      <c r="H218" s="192"/>
      <c r="I218" s="227" t="s">
        <v>28</v>
      </c>
      <c r="J218" s="231"/>
      <c r="K218" s="107" t="s">
        <v>28</v>
      </c>
      <c r="L218" s="76" t="s">
        <v>24</v>
      </c>
      <c r="M218" s="81">
        <v>1450</v>
      </c>
      <c r="N218" s="81">
        <v>236</v>
      </c>
      <c r="O218" s="82">
        <f>0.6*0.86*1.1</f>
        <v>0.5676000000000001</v>
      </c>
    </row>
    <row r="219" spans="2:15" s="47" customFormat="1" ht="18" customHeight="1" thickBot="1" x14ac:dyDescent="0.3">
      <c r="B219" s="84" t="s">
        <v>282</v>
      </c>
      <c r="C219" s="76">
        <v>75</v>
      </c>
      <c r="D219" s="77">
        <v>100</v>
      </c>
      <c r="E219" s="76">
        <v>500</v>
      </c>
      <c r="F219" s="77">
        <v>37.4</v>
      </c>
      <c r="G219" s="92" t="s">
        <v>276</v>
      </c>
      <c r="H219" s="192"/>
      <c r="I219" s="227" t="s">
        <v>28</v>
      </c>
      <c r="J219" s="231"/>
      <c r="K219" s="107" t="s">
        <v>28</v>
      </c>
      <c r="L219" s="76" t="s">
        <v>24</v>
      </c>
      <c r="M219" s="81">
        <v>1450</v>
      </c>
      <c r="N219" s="81">
        <v>363</v>
      </c>
      <c r="O219" s="82">
        <f>0.76*1*1.09</f>
        <v>0.82840000000000003</v>
      </c>
    </row>
    <row r="220" spans="2:15" s="47" customFormat="1" ht="18" customHeight="1" thickBot="1" x14ac:dyDescent="0.3">
      <c r="B220" s="84" t="s">
        <v>283</v>
      </c>
      <c r="C220" s="76">
        <v>90</v>
      </c>
      <c r="D220" s="77">
        <v>125</v>
      </c>
      <c r="E220" s="76">
        <v>500</v>
      </c>
      <c r="F220" s="77">
        <v>42.9</v>
      </c>
      <c r="G220" s="92" t="s">
        <v>276</v>
      </c>
      <c r="H220" s="192"/>
      <c r="I220" s="227" t="s">
        <v>28</v>
      </c>
      <c r="J220" s="231"/>
      <c r="K220" s="107" t="s">
        <v>28</v>
      </c>
      <c r="L220" s="76" t="s">
        <v>24</v>
      </c>
      <c r="M220" s="81">
        <v>1450</v>
      </c>
      <c r="N220" s="81">
        <v>364</v>
      </c>
      <c r="O220" s="82">
        <f>0.76*1*1.09</f>
        <v>0.82840000000000003</v>
      </c>
    </row>
    <row r="221" spans="2:15" s="47" customFormat="1" ht="18" customHeight="1" thickBot="1" x14ac:dyDescent="0.3">
      <c r="B221" s="84" t="s">
        <v>284</v>
      </c>
      <c r="C221" s="76">
        <v>110</v>
      </c>
      <c r="D221" s="77">
        <v>150</v>
      </c>
      <c r="E221" s="76">
        <v>500</v>
      </c>
      <c r="F221" s="77">
        <v>48.8</v>
      </c>
      <c r="G221" s="92" t="s">
        <v>276</v>
      </c>
      <c r="H221" s="192"/>
      <c r="I221" s="227" t="s">
        <v>28</v>
      </c>
      <c r="J221" s="231"/>
      <c r="K221" s="107" t="s">
        <v>28</v>
      </c>
      <c r="L221" s="76" t="s">
        <v>24</v>
      </c>
      <c r="M221" s="81">
        <v>1450</v>
      </c>
      <c r="N221" s="81">
        <v>365</v>
      </c>
      <c r="O221" s="82">
        <f>0.76*1*1.09</f>
        <v>0.82840000000000003</v>
      </c>
    </row>
    <row r="222" spans="2:15" s="47" customFormat="1" ht="18" customHeight="1" thickBot="1" x14ac:dyDescent="0.3">
      <c r="B222" s="84" t="s">
        <v>285</v>
      </c>
      <c r="C222" s="76">
        <v>132</v>
      </c>
      <c r="D222" s="77">
        <v>180</v>
      </c>
      <c r="E222" s="76">
        <v>600</v>
      </c>
      <c r="F222" s="77">
        <v>54</v>
      </c>
      <c r="G222" s="92" t="s">
        <v>276</v>
      </c>
      <c r="H222" s="192"/>
      <c r="I222" s="227" t="s">
        <v>28</v>
      </c>
      <c r="J222" s="231"/>
      <c r="K222" s="107" t="s">
        <v>28</v>
      </c>
      <c r="L222" s="76" t="s">
        <v>24</v>
      </c>
      <c r="M222" s="81">
        <v>1450</v>
      </c>
      <c r="N222" s="81">
        <v>366</v>
      </c>
      <c r="O222" s="82">
        <f>0.76*1*1.09</f>
        <v>0.82840000000000003</v>
      </c>
    </row>
    <row r="223" spans="2:15" s="47" customFormat="1" ht="18" customHeight="1" thickBot="1" x14ac:dyDescent="0.3">
      <c r="B223" s="84" t="s">
        <v>286</v>
      </c>
      <c r="C223" s="76">
        <v>90</v>
      </c>
      <c r="D223" s="77">
        <v>125</v>
      </c>
      <c r="E223" s="76">
        <v>900</v>
      </c>
      <c r="F223" s="77">
        <v>26.4</v>
      </c>
      <c r="G223" s="92" t="s">
        <v>287</v>
      </c>
      <c r="H223" s="192"/>
      <c r="I223" s="227" t="s">
        <v>28</v>
      </c>
      <c r="J223" s="231"/>
      <c r="K223" s="107" t="s">
        <v>28</v>
      </c>
      <c r="L223" s="76" t="s">
        <v>24</v>
      </c>
      <c r="M223" s="81">
        <v>1450</v>
      </c>
      <c r="N223" s="81">
        <v>318</v>
      </c>
      <c r="O223" s="82">
        <f>0.76*0.85*1.09</f>
        <v>0.7041400000000001</v>
      </c>
    </row>
    <row r="224" spans="2:15" s="47" customFormat="1" ht="18" customHeight="1" thickBot="1" x14ac:dyDescent="0.3">
      <c r="B224" s="84" t="s">
        <v>288</v>
      </c>
      <c r="C224" s="76">
        <v>110</v>
      </c>
      <c r="D224" s="77">
        <v>150</v>
      </c>
      <c r="E224" s="76">
        <v>900</v>
      </c>
      <c r="F224" s="77">
        <v>30.4</v>
      </c>
      <c r="G224" s="92" t="s">
        <v>287</v>
      </c>
      <c r="H224" s="192"/>
      <c r="I224" s="227" t="s">
        <v>28</v>
      </c>
      <c r="J224" s="231"/>
      <c r="K224" s="107" t="s">
        <v>28</v>
      </c>
      <c r="L224" s="76" t="s">
        <v>24</v>
      </c>
      <c r="M224" s="81">
        <v>1450</v>
      </c>
      <c r="N224" s="81">
        <v>320</v>
      </c>
      <c r="O224" s="82">
        <f>0.76*0.85*1.09</f>
        <v>0.7041400000000001</v>
      </c>
    </row>
    <row r="225" spans="2:15" s="47" customFormat="1" ht="18" customHeight="1" thickBot="1" x14ac:dyDescent="0.3">
      <c r="B225" s="84" t="s">
        <v>289</v>
      </c>
      <c r="C225" s="76">
        <v>132</v>
      </c>
      <c r="D225" s="77">
        <v>180</v>
      </c>
      <c r="E225" s="76">
        <v>1000</v>
      </c>
      <c r="F225" s="77">
        <v>33.799999999999997</v>
      </c>
      <c r="G225" s="92" t="s">
        <v>287</v>
      </c>
      <c r="H225" s="192"/>
      <c r="I225" s="227" t="s">
        <v>28</v>
      </c>
      <c r="J225" s="231"/>
      <c r="K225" s="107" t="s">
        <v>28</v>
      </c>
      <c r="L225" s="76" t="s">
        <v>24</v>
      </c>
      <c r="M225" s="81">
        <v>1450</v>
      </c>
      <c r="N225" s="81">
        <v>322</v>
      </c>
      <c r="O225" s="82">
        <f>0.76*0.85*1.09</f>
        <v>0.7041400000000001</v>
      </c>
    </row>
    <row r="226" spans="2:15" s="47" customFormat="1" ht="18" customHeight="1" thickBot="1" x14ac:dyDescent="0.3">
      <c r="B226" s="84" t="s">
        <v>290</v>
      </c>
      <c r="C226" s="76">
        <v>160</v>
      </c>
      <c r="D226" s="77">
        <v>220</v>
      </c>
      <c r="E226" s="76">
        <v>1000</v>
      </c>
      <c r="F226" s="77">
        <v>40.299999999999997</v>
      </c>
      <c r="G226" s="92" t="s">
        <v>287</v>
      </c>
      <c r="H226" s="192"/>
      <c r="I226" s="227" t="s">
        <v>28</v>
      </c>
      <c r="J226" s="231"/>
      <c r="K226" s="107" t="s">
        <v>28</v>
      </c>
      <c r="L226" s="76" t="s">
        <v>24</v>
      </c>
      <c r="M226" s="81">
        <v>1450</v>
      </c>
      <c r="N226" s="81">
        <v>324</v>
      </c>
      <c r="O226" s="82">
        <f>0.76*0.85*1.09</f>
        <v>0.7041400000000001</v>
      </c>
    </row>
    <row r="227" spans="2:15" s="47" customFormat="1" ht="18" customHeight="1" thickBot="1" x14ac:dyDescent="0.3">
      <c r="B227" s="84" t="s">
        <v>291</v>
      </c>
      <c r="C227" s="76">
        <v>160</v>
      </c>
      <c r="D227" s="77">
        <v>220</v>
      </c>
      <c r="E227" s="76">
        <v>1000</v>
      </c>
      <c r="F227" s="77">
        <v>37</v>
      </c>
      <c r="G227" s="92" t="s">
        <v>287</v>
      </c>
      <c r="H227" s="192"/>
      <c r="I227" s="227" t="s">
        <v>28</v>
      </c>
      <c r="J227" s="231"/>
      <c r="K227" s="107" t="s">
        <v>28</v>
      </c>
      <c r="L227" s="76" t="s">
        <v>24</v>
      </c>
      <c r="M227" s="81">
        <v>1450</v>
      </c>
      <c r="N227" s="81">
        <v>402</v>
      </c>
      <c r="O227" s="82">
        <f>0.76*1.07*1.15</f>
        <v>0.93518000000000001</v>
      </c>
    </row>
    <row r="228" spans="2:15" s="47" customFormat="1" ht="18" customHeight="1" thickBot="1" x14ac:dyDescent="0.3">
      <c r="B228" s="84" t="s">
        <v>292</v>
      </c>
      <c r="C228" s="76">
        <v>185</v>
      </c>
      <c r="D228" s="77">
        <v>250</v>
      </c>
      <c r="E228" s="76">
        <v>1000</v>
      </c>
      <c r="F228" s="77">
        <v>41</v>
      </c>
      <c r="G228" s="92" t="s">
        <v>287</v>
      </c>
      <c r="H228" s="192"/>
      <c r="I228" s="227" t="s">
        <v>28</v>
      </c>
      <c r="J228" s="231"/>
      <c r="K228" s="107" t="s">
        <v>28</v>
      </c>
      <c r="L228" s="76" t="s">
        <v>24</v>
      </c>
      <c r="M228" s="81">
        <v>1450</v>
      </c>
      <c r="N228" s="81">
        <v>404</v>
      </c>
      <c r="O228" s="82">
        <f>0.76*1.07*1.15</f>
        <v>0.93518000000000001</v>
      </c>
    </row>
    <row r="229" spans="2:15" s="47" customFormat="1" ht="18" customHeight="1" thickBot="1" x14ac:dyDescent="0.3">
      <c r="B229" s="84" t="s">
        <v>293</v>
      </c>
      <c r="C229" s="76">
        <v>200</v>
      </c>
      <c r="D229" s="77">
        <v>270</v>
      </c>
      <c r="E229" s="76">
        <v>1100</v>
      </c>
      <c r="F229" s="77">
        <v>46</v>
      </c>
      <c r="G229" s="92" t="s">
        <v>287</v>
      </c>
      <c r="H229" s="192"/>
      <c r="I229" s="227" t="s">
        <v>28</v>
      </c>
      <c r="J229" s="231"/>
      <c r="K229" s="107" t="s">
        <v>28</v>
      </c>
      <c r="L229" s="76" t="s">
        <v>24</v>
      </c>
      <c r="M229" s="81">
        <v>1450</v>
      </c>
      <c r="N229" s="81">
        <v>406</v>
      </c>
      <c r="O229" s="82">
        <f>0.76*1.07*1.15</f>
        <v>0.93518000000000001</v>
      </c>
    </row>
    <row r="230" spans="2:15" s="47" customFormat="1" ht="18" customHeight="1" thickBot="1" x14ac:dyDescent="0.3">
      <c r="B230" s="84" t="s">
        <v>294</v>
      </c>
      <c r="C230" s="76">
        <v>220</v>
      </c>
      <c r="D230" s="77">
        <v>300</v>
      </c>
      <c r="E230" s="76">
        <v>1100</v>
      </c>
      <c r="F230" s="77">
        <v>51</v>
      </c>
      <c r="G230" s="92" t="s">
        <v>287</v>
      </c>
      <c r="H230" s="192"/>
      <c r="I230" s="227" t="s">
        <v>28</v>
      </c>
      <c r="J230" s="231"/>
      <c r="K230" s="107" t="s">
        <v>28</v>
      </c>
      <c r="L230" s="76" t="s">
        <v>24</v>
      </c>
      <c r="M230" s="81">
        <v>1450</v>
      </c>
      <c r="N230" s="81">
        <v>408</v>
      </c>
      <c r="O230" s="82">
        <f>0.76*1.07*1.15</f>
        <v>0.93518000000000001</v>
      </c>
    </row>
    <row r="231" spans="2:15" s="47" customFormat="1" ht="18" customHeight="1" thickBot="1" x14ac:dyDescent="0.3">
      <c r="B231" s="84" t="s">
        <v>295</v>
      </c>
      <c r="C231" s="76">
        <v>250</v>
      </c>
      <c r="D231" s="77">
        <v>340</v>
      </c>
      <c r="E231" s="76">
        <v>1100</v>
      </c>
      <c r="F231" s="77">
        <v>59</v>
      </c>
      <c r="G231" s="92" t="s">
        <v>287</v>
      </c>
      <c r="H231" s="192"/>
      <c r="I231" s="227" t="s">
        <v>28</v>
      </c>
      <c r="J231" s="231"/>
      <c r="K231" s="107" t="s">
        <v>28</v>
      </c>
      <c r="L231" s="76" t="s">
        <v>24</v>
      </c>
      <c r="M231" s="81">
        <v>1450</v>
      </c>
      <c r="N231" s="81">
        <v>410</v>
      </c>
      <c r="O231" s="82">
        <f>0.76*1.07*1.15</f>
        <v>0.93518000000000001</v>
      </c>
    </row>
    <row r="232" spans="2:15" ht="8.25" customHeight="1" thickBot="1" x14ac:dyDescent="0.3"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</row>
    <row r="233" spans="2:15" ht="15" customHeight="1" x14ac:dyDescent="0.25">
      <c r="B233" s="180" t="s">
        <v>32</v>
      </c>
      <c r="C233" s="45" t="s">
        <v>33</v>
      </c>
      <c r="D233" s="45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</row>
    <row r="234" spans="2:15" ht="15" customHeight="1" x14ac:dyDescent="0.25">
      <c r="B234" s="181" t="s">
        <v>308</v>
      </c>
      <c r="C234" s="50" t="s">
        <v>701</v>
      </c>
      <c r="D234" s="50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</row>
    <row r="235" spans="2:15" s="167" customFormat="1" ht="15" customHeight="1" x14ac:dyDescent="0.25">
      <c r="B235" s="181" t="s">
        <v>702</v>
      </c>
      <c r="C235" s="50" t="s">
        <v>703</v>
      </c>
      <c r="D235" s="53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2:15" ht="15" customHeight="1" x14ac:dyDescent="0.25">
      <c r="B236" s="204" t="s">
        <v>36</v>
      </c>
      <c r="C236" s="53" t="s">
        <v>1406</v>
      </c>
      <c r="D236" s="53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2:15" ht="15" customHeight="1" x14ac:dyDescent="0.25">
      <c r="B237" s="204" t="s">
        <v>62</v>
      </c>
      <c r="C237" s="53" t="s">
        <v>1231</v>
      </c>
      <c r="D237" s="53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2:15" s="175" customFormat="1" ht="15" customHeight="1" x14ac:dyDescent="0.25">
      <c r="B238" s="205" t="s">
        <v>63</v>
      </c>
      <c r="C238" s="206" t="s">
        <v>1232</v>
      </c>
      <c r="D238" s="206"/>
      <c r="E238" s="207"/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</row>
  </sheetData>
  <mergeCells count="9">
    <mergeCell ref="B6:M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3"/>
  <sheetViews>
    <sheetView zoomScaleNormal="100" workbookViewId="0">
      <selection activeCell="O9" sqref="O9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75" customWidth="1"/>
    <col min="9" max="9" width="10.85546875" style="1" customWidth="1"/>
    <col min="10" max="10" width="14.28515625" style="175" customWidth="1"/>
    <col min="11" max="15" width="10.85546875" style="1" customWidth="1"/>
    <col min="16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69" width="10.85546875" style="1" customWidth="1"/>
    <col min="270" max="271" width="8.5703125" style="1" customWidth="1"/>
    <col min="272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5" width="10.85546875" style="1" customWidth="1"/>
    <col min="526" max="527" width="8.5703125" style="1" customWidth="1"/>
    <col min="528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1" width="10.85546875" style="1" customWidth="1"/>
    <col min="782" max="783" width="8.5703125" style="1" customWidth="1"/>
    <col min="784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7" width="10.85546875" style="1" customWidth="1"/>
    <col min="1038" max="1039" width="8.5703125" style="1" customWidth="1"/>
    <col min="1040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3" width="10.85546875" style="1" customWidth="1"/>
    <col min="1294" max="1295" width="8.5703125" style="1" customWidth="1"/>
    <col min="1296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49" width="10.85546875" style="1" customWidth="1"/>
    <col min="1550" max="1551" width="8.5703125" style="1" customWidth="1"/>
    <col min="1552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5" width="10.85546875" style="1" customWidth="1"/>
    <col min="1806" max="1807" width="8.5703125" style="1" customWidth="1"/>
    <col min="1808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1" width="10.85546875" style="1" customWidth="1"/>
    <col min="2062" max="2063" width="8.5703125" style="1" customWidth="1"/>
    <col min="2064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7" width="10.85546875" style="1" customWidth="1"/>
    <col min="2318" max="2319" width="8.5703125" style="1" customWidth="1"/>
    <col min="2320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3" width="10.85546875" style="1" customWidth="1"/>
    <col min="2574" max="2575" width="8.5703125" style="1" customWidth="1"/>
    <col min="2576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29" width="10.85546875" style="1" customWidth="1"/>
    <col min="2830" max="2831" width="8.5703125" style="1" customWidth="1"/>
    <col min="2832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5" width="10.85546875" style="1" customWidth="1"/>
    <col min="3086" max="3087" width="8.5703125" style="1" customWidth="1"/>
    <col min="3088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1" width="10.85546875" style="1" customWidth="1"/>
    <col min="3342" max="3343" width="8.5703125" style="1" customWidth="1"/>
    <col min="3344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7" width="10.85546875" style="1" customWidth="1"/>
    <col min="3598" max="3599" width="8.5703125" style="1" customWidth="1"/>
    <col min="3600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3" width="10.85546875" style="1" customWidth="1"/>
    <col min="3854" max="3855" width="8.5703125" style="1" customWidth="1"/>
    <col min="3856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09" width="10.85546875" style="1" customWidth="1"/>
    <col min="4110" max="4111" width="8.5703125" style="1" customWidth="1"/>
    <col min="4112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5" width="10.85546875" style="1" customWidth="1"/>
    <col min="4366" max="4367" width="8.5703125" style="1" customWidth="1"/>
    <col min="4368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1" width="10.85546875" style="1" customWidth="1"/>
    <col min="4622" max="4623" width="8.5703125" style="1" customWidth="1"/>
    <col min="4624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7" width="10.85546875" style="1" customWidth="1"/>
    <col min="4878" max="4879" width="8.5703125" style="1" customWidth="1"/>
    <col min="4880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3" width="10.85546875" style="1" customWidth="1"/>
    <col min="5134" max="5135" width="8.5703125" style="1" customWidth="1"/>
    <col min="5136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89" width="10.85546875" style="1" customWidth="1"/>
    <col min="5390" max="5391" width="8.5703125" style="1" customWidth="1"/>
    <col min="5392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5" width="10.85546875" style="1" customWidth="1"/>
    <col min="5646" max="5647" width="8.5703125" style="1" customWidth="1"/>
    <col min="5648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1" width="10.85546875" style="1" customWidth="1"/>
    <col min="5902" max="5903" width="8.5703125" style="1" customWidth="1"/>
    <col min="5904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7" width="10.85546875" style="1" customWidth="1"/>
    <col min="6158" max="6159" width="8.5703125" style="1" customWidth="1"/>
    <col min="6160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3" width="10.85546875" style="1" customWidth="1"/>
    <col min="6414" max="6415" width="8.5703125" style="1" customWidth="1"/>
    <col min="6416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69" width="10.85546875" style="1" customWidth="1"/>
    <col min="6670" max="6671" width="8.5703125" style="1" customWidth="1"/>
    <col min="6672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5" width="10.85546875" style="1" customWidth="1"/>
    <col min="6926" max="6927" width="8.5703125" style="1" customWidth="1"/>
    <col min="6928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1" width="10.85546875" style="1" customWidth="1"/>
    <col min="7182" max="7183" width="8.5703125" style="1" customWidth="1"/>
    <col min="7184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7" width="10.85546875" style="1" customWidth="1"/>
    <col min="7438" max="7439" width="8.5703125" style="1" customWidth="1"/>
    <col min="7440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3" width="10.85546875" style="1" customWidth="1"/>
    <col min="7694" max="7695" width="8.5703125" style="1" customWidth="1"/>
    <col min="7696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49" width="10.85546875" style="1" customWidth="1"/>
    <col min="7950" max="7951" width="8.5703125" style="1" customWidth="1"/>
    <col min="7952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5" width="10.85546875" style="1" customWidth="1"/>
    <col min="8206" max="8207" width="8.5703125" style="1" customWidth="1"/>
    <col min="8208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1" width="10.85546875" style="1" customWidth="1"/>
    <col min="8462" max="8463" width="8.5703125" style="1" customWidth="1"/>
    <col min="8464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7" width="10.85546875" style="1" customWidth="1"/>
    <col min="8718" max="8719" width="8.5703125" style="1" customWidth="1"/>
    <col min="8720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3" width="10.85546875" style="1" customWidth="1"/>
    <col min="8974" max="8975" width="8.5703125" style="1" customWidth="1"/>
    <col min="8976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29" width="10.85546875" style="1" customWidth="1"/>
    <col min="9230" max="9231" width="8.5703125" style="1" customWidth="1"/>
    <col min="9232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5" width="10.85546875" style="1" customWidth="1"/>
    <col min="9486" max="9487" width="8.5703125" style="1" customWidth="1"/>
    <col min="9488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1" width="10.85546875" style="1" customWidth="1"/>
    <col min="9742" max="9743" width="8.5703125" style="1" customWidth="1"/>
    <col min="9744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7" width="10.85546875" style="1" customWidth="1"/>
    <col min="9998" max="9999" width="8.5703125" style="1" customWidth="1"/>
    <col min="10000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3" width="10.85546875" style="1" customWidth="1"/>
    <col min="10254" max="10255" width="8.5703125" style="1" customWidth="1"/>
    <col min="10256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09" width="10.85546875" style="1" customWidth="1"/>
    <col min="10510" max="10511" width="8.5703125" style="1" customWidth="1"/>
    <col min="10512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5" width="10.85546875" style="1" customWidth="1"/>
    <col min="10766" max="10767" width="8.5703125" style="1" customWidth="1"/>
    <col min="10768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1" width="10.85546875" style="1" customWidth="1"/>
    <col min="11022" max="11023" width="8.5703125" style="1" customWidth="1"/>
    <col min="11024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7" width="10.85546875" style="1" customWidth="1"/>
    <col min="11278" max="11279" width="8.5703125" style="1" customWidth="1"/>
    <col min="11280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3" width="10.85546875" style="1" customWidth="1"/>
    <col min="11534" max="11535" width="8.5703125" style="1" customWidth="1"/>
    <col min="11536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89" width="10.85546875" style="1" customWidth="1"/>
    <col min="11790" max="11791" width="8.5703125" style="1" customWidth="1"/>
    <col min="11792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5" width="10.85546875" style="1" customWidth="1"/>
    <col min="12046" max="12047" width="8.5703125" style="1" customWidth="1"/>
    <col min="12048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1" width="10.85546875" style="1" customWidth="1"/>
    <col min="12302" max="12303" width="8.5703125" style="1" customWidth="1"/>
    <col min="12304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7" width="10.85546875" style="1" customWidth="1"/>
    <col min="12558" max="12559" width="8.5703125" style="1" customWidth="1"/>
    <col min="12560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3" width="10.85546875" style="1" customWidth="1"/>
    <col min="12814" max="12815" width="8.5703125" style="1" customWidth="1"/>
    <col min="12816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69" width="10.85546875" style="1" customWidth="1"/>
    <col min="13070" max="13071" width="8.5703125" style="1" customWidth="1"/>
    <col min="13072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5" width="10.85546875" style="1" customWidth="1"/>
    <col min="13326" max="13327" width="8.5703125" style="1" customWidth="1"/>
    <col min="13328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1" width="10.85546875" style="1" customWidth="1"/>
    <col min="13582" max="13583" width="8.5703125" style="1" customWidth="1"/>
    <col min="13584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7" width="10.85546875" style="1" customWidth="1"/>
    <col min="13838" max="13839" width="8.5703125" style="1" customWidth="1"/>
    <col min="13840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3" width="10.85546875" style="1" customWidth="1"/>
    <col min="14094" max="14095" width="8.5703125" style="1" customWidth="1"/>
    <col min="14096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49" width="10.85546875" style="1" customWidth="1"/>
    <col min="14350" max="14351" width="8.5703125" style="1" customWidth="1"/>
    <col min="14352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5" width="10.85546875" style="1" customWidth="1"/>
    <col min="14606" max="14607" width="8.5703125" style="1" customWidth="1"/>
    <col min="14608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1" width="10.85546875" style="1" customWidth="1"/>
    <col min="14862" max="14863" width="8.5703125" style="1" customWidth="1"/>
    <col min="14864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7" width="10.85546875" style="1" customWidth="1"/>
    <col min="15118" max="15119" width="8.5703125" style="1" customWidth="1"/>
    <col min="15120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3" width="10.85546875" style="1" customWidth="1"/>
    <col min="15374" max="15375" width="8.5703125" style="1" customWidth="1"/>
    <col min="15376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29" width="10.85546875" style="1" customWidth="1"/>
    <col min="15630" max="15631" width="8.5703125" style="1" customWidth="1"/>
    <col min="15632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5" width="10.85546875" style="1" customWidth="1"/>
    <col min="15886" max="15887" width="8.5703125" style="1" customWidth="1"/>
    <col min="15888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1" width="10.85546875" style="1" customWidth="1"/>
    <col min="16142" max="16143" width="8.5703125" style="1" customWidth="1"/>
    <col min="16144" max="16384" width="9.140625" style="1"/>
  </cols>
  <sheetData>
    <row r="2" spans="1:16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s="8" customFormat="1" ht="18" customHeight="1" thickBot="1" x14ac:dyDescent="0.3">
      <c r="B5" s="9"/>
      <c r="L5" s="10"/>
      <c r="M5" s="10"/>
      <c r="N5" s="10"/>
      <c r="O5" s="11"/>
      <c r="P5" s="11"/>
    </row>
    <row r="6" spans="1:16" s="63" customFormat="1" ht="32.1" customHeight="1" thickBot="1" x14ac:dyDescent="0.3">
      <c r="B6" s="391" t="s">
        <v>941</v>
      </c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58"/>
      <c r="N6" s="358"/>
      <c r="O6" s="358"/>
    </row>
    <row r="7" spans="1:16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120"/>
      <c r="O7" s="120"/>
    </row>
    <row r="8" spans="1:16" s="47" customFormat="1" ht="18" customHeight="1" x14ac:dyDescent="0.25">
      <c r="A8" s="59"/>
      <c r="B8" s="341" t="s">
        <v>1</v>
      </c>
      <c r="C8" s="337" t="s">
        <v>2</v>
      </c>
      <c r="D8" s="338"/>
      <c r="E8" s="346" t="s">
        <v>3</v>
      </c>
      <c r="F8" s="346"/>
      <c r="G8" s="15" t="s">
        <v>4</v>
      </c>
      <c r="H8" s="330" t="s">
        <v>5</v>
      </c>
      <c r="I8" s="331"/>
      <c r="J8" s="331"/>
      <c r="K8" s="332"/>
      <c r="L8" s="325" t="s">
        <v>6</v>
      </c>
      <c r="M8" s="328" t="s">
        <v>7</v>
      </c>
      <c r="N8" s="312" t="s">
        <v>8</v>
      </c>
      <c r="O8" s="16" t="s">
        <v>9</v>
      </c>
    </row>
    <row r="9" spans="1:16" s="59" customFormat="1" ht="18" customHeight="1" x14ac:dyDescent="0.25">
      <c r="A9" s="18" t="s">
        <v>347</v>
      </c>
      <c r="B9" s="342"/>
      <c r="C9" s="339"/>
      <c r="D9" s="340"/>
      <c r="E9" s="19" t="s">
        <v>10</v>
      </c>
      <c r="F9" s="20" t="s">
        <v>11</v>
      </c>
      <c r="G9" s="116"/>
      <c r="H9" s="333" t="s">
        <v>42</v>
      </c>
      <c r="I9" s="334"/>
      <c r="J9" s="344" t="s">
        <v>43</v>
      </c>
      <c r="K9" s="345"/>
      <c r="L9" s="326"/>
      <c r="M9" s="329"/>
      <c r="N9" s="313"/>
      <c r="O9" s="22"/>
    </row>
    <row r="10" spans="1:16" s="47" customFormat="1" ht="18" customHeight="1" thickBot="1" x14ac:dyDescent="0.3">
      <c r="B10" s="343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17</v>
      </c>
      <c r="J10" s="27" t="s">
        <v>717</v>
      </c>
      <c r="K10" s="98" t="s">
        <v>18</v>
      </c>
      <c r="L10" s="327"/>
      <c r="M10" s="26" t="s">
        <v>19</v>
      </c>
      <c r="N10" s="27" t="s">
        <v>20</v>
      </c>
      <c r="O10" s="28" t="s">
        <v>21</v>
      </c>
    </row>
    <row r="11" spans="1:16" s="47" customFormat="1" ht="18" customHeight="1" thickBot="1" x14ac:dyDescent="0.3">
      <c r="B11" s="96" t="s">
        <v>1233</v>
      </c>
      <c r="C11" s="76">
        <v>0.75</v>
      </c>
      <c r="D11" s="77">
        <v>1</v>
      </c>
      <c r="E11" s="76">
        <v>12</v>
      </c>
      <c r="F11" s="77">
        <v>15</v>
      </c>
      <c r="G11" s="92" t="s">
        <v>44</v>
      </c>
      <c r="H11" s="192"/>
      <c r="I11" s="186">
        <v>232.55121392334723</v>
      </c>
      <c r="J11" s="86"/>
      <c r="K11" s="121">
        <v>225.06967352903044</v>
      </c>
      <c r="L11" s="76" t="s">
        <v>348</v>
      </c>
      <c r="M11" s="81">
        <v>2900</v>
      </c>
      <c r="N11" s="81">
        <v>17</v>
      </c>
      <c r="O11" s="82">
        <v>2.8000000000000001E-2</v>
      </c>
    </row>
    <row r="12" spans="1:16" s="47" customFormat="1" ht="18" customHeight="1" thickBot="1" x14ac:dyDescent="0.3">
      <c r="B12" s="96" t="s">
        <v>1234</v>
      </c>
      <c r="C12" s="76">
        <v>1.1000000000000001</v>
      </c>
      <c r="D12" s="77">
        <v>1.5</v>
      </c>
      <c r="E12" s="76">
        <v>15</v>
      </c>
      <c r="F12" s="77">
        <v>17</v>
      </c>
      <c r="G12" s="92" t="s">
        <v>44</v>
      </c>
      <c r="H12" s="192"/>
      <c r="I12" s="186">
        <v>253.43718085748162</v>
      </c>
      <c r="J12" s="86"/>
      <c r="K12" s="121">
        <v>242.21487026600644</v>
      </c>
      <c r="L12" s="76" t="s">
        <v>348</v>
      </c>
      <c r="M12" s="81">
        <v>2900</v>
      </c>
      <c r="N12" s="81">
        <v>18.899999999999999</v>
      </c>
      <c r="O12" s="82">
        <v>2.8000000000000001E-2</v>
      </c>
    </row>
    <row r="13" spans="1:16" s="47" customFormat="1" ht="18" customHeight="1" thickBot="1" x14ac:dyDescent="0.3">
      <c r="B13" s="96" t="s">
        <v>1235</v>
      </c>
      <c r="C13" s="76">
        <v>1.5</v>
      </c>
      <c r="D13" s="77">
        <v>2</v>
      </c>
      <c r="E13" s="76">
        <v>15</v>
      </c>
      <c r="F13" s="77">
        <v>20</v>
      </c>
      <c r="G13" s="92" t="s">
        <v>44</v>
      </c>
      <c r="H13" s="192"/>
      <c r="I13" s="186">
        <v>297.39123067409287</v>
      </c>
      <c r="J13" s="86"/>
      <c r="K13" s="121">
        <v>282.42814988545916</v>
      </c>
      <c r="L13" s="76" t="s">
        <v>348</v>
      </c>
      <c r="M13" s="81">
        <v>2900</v>
      </c>
      <c r="N13" s="81">
        <v>20.9</v>
      </c>
      <c r="O13" s="82">
        <v>2.8000000000000001E-2</v>
      </c>
    </row>
    <row r="14" spans="1:16" s="47" customFormat="1" ht="18" customHeight="1" thickBot="1" x14ac:dyDescent="0.3">
      <c r="B14" s="96" t="s">
        <v>1236</v>
      </c>
      <c r="C14" s="76">
        <v>2.2000000000000002</v>
      </c>
      <c r="D14" s="77">
        <v>3</v>
      </c>
      <c r="E14" s="76">
        <v>18</v>
      </c>
      <c r="F14" s="77">
        <v>28</v>
      </c>
      <c r="G14" s="92" t="s">
        <v>44</v>
      </c>
      <c r="H14" s="192"/>
      <c r="I14" s="186">
        <v>413.04337593624001</v>
      </c>
      <c r="J14" s="86"/>
      <c r="K14" s="121">
        <v>393.09260155139526</v>
      </c>
      <c r="L14" s="76" t="s">
        <v>348</v>
      </c>
      <c r="M14" s="81">
        <v>2900</v>
      </c>
      <c r="N14" s="81">
        <v>28.5</v>
      </c>
      <c r="O14" s="82">
        <v>4.5999999999999999E-2</v>
      </c>
    </row>
    <row r="15" spans="1:16" s="47" customFormat="1" ht="18" customHeight="1" thickBot="1" x14ac:dyDescent="0.3">
      <c r="B15" s="96" t="s">
        <v>1237</v>
      </c>
      <c r="C15" s="76">
        <v>3</v>
      </c>
      <c r="D15" s="77">
        <v>4</v>
      </c>
      <c r="E15" s="76">
        <v>18</v>
      </c>
      <c r="F15" s="77">
        <v>33.5</v>
      </c>
      <c r="G15" s="92" t="s">
        <v>44</v>
      </c>
      <c r="H15" s="192"/>
      <c r="I15" s="186">
        <v>462.29685019882567</v>
      </c>
      <c r="J15" s="86"/>
      <c r="K15" s="121">
        <v>440.1639598656385</v>
      </c>
      <c r="L15" s="76" t="s">
        <v>348</v>
      </c>
      <c r="M15" s="81">
        <v>2900</v>
      </c>
      <c r="N15" s="81">
        <v>32.299999999999997</v>
      </c>
      <c r="O15" s="82">
        <v>4.5999999999999999E-2</v>
      </c>
    </row>
    <row r="16" spans="1:16" s="47" customFormat="1" ht="18" customHeight="1" thickBot="1" x14ac:dyDescent="0.3">
      <c r="B16" s="96" t="s">
        <v>1238</v>
      </c>
      <c r="C16" s="76">
        <v>4</v>
      </c>
      <c r="D16" s="77">
        <v>5.5</v>
      </c>
      <c r="E16" s="76">
        <v>21</v>
      </c>
      <c r="F16" s="77">
        <v>45</v>
      </c>
      <c r="G16" s="92" t="s">
        <v>44</v>
      </c>
      <c r="H16" s="192"/>
      <c r="I16" s="186">
        <v>696.71844922075206</v>
      </c>
      <c r="J16" s="86"/>
      <c r="K16" s="121">
        <v>649.95882175627196</v>
      </c>
      <c r="L16" s="76" t="s">
        <v>348</v>
      </c>
      <c r="M16" s="81">
        <v>2900</v>
      </c>
      <c r="N16" s="81">
        <v>42</v>
      </c>
      <c r="O16" s="82">
        <v>5.8000000000000003E-2</v>
      </c>
    </row>
    <row r="17" spans="2:15" s="47" customFormat="1" ht="18" customHeight="1" thickBot="1" x14ac:dyDescent="0.3">
      <c r="B17" s="96" t="s">
        <v>1239</v>
      </c>
      <c r="C17" s="76">
        <v>5.5</v>
      </c>
      <c r="D17" s="77">
        <v>7.5</v>
      </c>
      <c r="E17" s="76">
        <v>21</v>
      </c>
      <c r="F17" s="77">
        <v>55</v>
      </c>
      <c r="G17" s="92" t="s">
        <v>44</v>
      </c>
      <c r="H17" s="193"/>
      <c r="I17" s="189"/>
      <c r="J17" s="86"/>
      <c r="K17" s="121">
        <v>677.7028673851969</v>
      </c>
      <c r="L17" s="76" t="s">
        <v>348</v>
      </c>
      <c r="M17" s="81">
        <v>2900</v>
      </c>
      <c r="N17" s="81">
        <v>47</v>
      </c>
      <c r="O17" s="82">
        <v>5.8000000000000003E-2</v>
      </c>
    </row>
    <row r="18" spans="2:15" s="47" customFormat="1" ht="18" customHeight="1" thickBot="1" x14ac:dyDescent="0.3">
      <c r="B18" s="96" t="s">
        <v>1240</v>
      </c>
      <c r="C18" s="76">
        <v>1.1000000000000001</v>
      </c>
      <c r="D18" s="77">
        <v>1.5</v>
      </c>
      <c r="E18" s="76">
        <v>30</v>
      </c>
      <c r="F18" s="77">
        <v>10.199999999999999</v>
      </c>
      <c r="G18" s="92" t="s">
        <v>46</v>
      </c>
      <c r="H18" s="192"/>
      <c r="I18" s="186">
        <v>303.31411681959361</v>
      </c>
      <c r="J18" s="86"/>
      <c r="K18" s="121">
        <v>290.84488282906557</v>
      </c>
      <c r="L18" s="76" t="s">
        <v>348</v>
      </c>
      <c r="M18" s="81">
        <v>2900</v>
      </c>
      <c r="N18" s="81">
        <v>24</v>
      </c>
      <c r="O18" s="82">
        <v>4.1000000000000002E-2</v>
      </c>
    </row>
    <row r="19" spans="2:15" s="47" customFormat="1" ht="18" customHeight="1" thickBot="1" x14ac:dyDescent="0.3">
      <c r="B19" s="96" t="s">
        <v>1241</v>
      </c>
      <c r="C19" s="76">
        <v>1.5</v>
      </c>
      <c r="D19" s="77">
        <v>2</v>
      </c>
      <c r="E19" s="76">
        <v>30</v>
      </c>
      <c r="F19" s="77">
        <v>12.8</v>
      </c>
      <c r="G19" s="92" t="s">
        <v>46</v>
      </c>
      <c r="H19" s="192"/>
      <c r="I19" s="186">
        <v>321.082775256096</v>
      </c>
      <c r="J19" s="86"/>
      <c r="K19" s="121">
        <v>307.05488701675205</v>
      </c>
      <c r="L19" s="76" t="s">
        <v>348</v>
      </c>
      <c r="M19" s="81">
        <v>2900</v>
      </c>
      <c r="N19" s="81">
        <v>25.5</v>
      </c>
      <c r="O19" s="82">
        <v>4.1000000000000002E-2</v>
      </c>
    </row>
    <row r="20" spans="2:15" s="47" customFormat="1" ht="18" customHeight="1" thickBot="1" x14ac:dyDescent="0.3">
      <c r="B20" s="96" t="s">
        <v>1242</v>
      </c>
      <c r="C20" s="76">
        <v>2.2000000000000002</v>
      </c>
      <c r="D20" s="77">
        <v>3</v>
      </c>
      <c r="E20" s="76">
        <v>30</v>
      </c>
      <c r="F20" s="77">
        <v>16.8</v>
      </c>
      <c r="G20" s="92" t="s">
        <v>46</v>
      </c>
      <c r="H20" s="192"/>
      <c r="I20" s="186">
        <v>388.10490795518405</v>
      </c>
      <c r="J20" s="86"/>
      <c r="K20" s="121">
        <v>353.81451448123204</v>
      </c>
      <c r="L20" s="76" t="s">
        <v>348</v>
      </c>
      <c r="M20" s="81">
        <v>2900</v>
      </c>
      <c r="N20" s="81">
        <v>26.7</v>
      </c>
      <c r="O20" s="82">
        <v>4.1000000000000002E-2</v>
      </c>
    </row>
    <row r="21" spans="2:15" s="47" customFormat="1" ht="18" customHeight="1" thickBot="1" x14ac:dyDescent="0.3">
      <c r="B21" s="96" t="s">
        <v>1243</v>
      </c>
      <c r="C21" s="76">
        <v>3</v>
      </c>
      <c r="D21" s="77">
        <v>4</v>
      </c>
      <c r="E21" s="76">
        <v>30</v>
      </c>
      <c r="F21" s="77">
        <v>19.5</v>
      </c>
      <c r="G21" s="92" t="s">
        <v>46</v>
      </c>
      <c r="H21" s="192"/>
      <c r="I21" s="186">
        <v>451.07453960735046</v>
      </c>
      <c r="J21" s="86"/>
      <c r="K21" s="121">
        <v>407.12048979073921</v>
      </c>
      <c r="L21" s="76" t="s">
        <v>348</v>
      </c>
      <c r="M21" s="81">
        <v>2900</v>
      </c>
      <c r="N21" s="81">
        <v>35</v>
      </c>
      <c r="O21" s="82">
        <v>4.1000000000000002E-2</v>
      </c>
    </row>
    <row r="22" spans="2:15" s="47" customFormat="1" ht="18" customHeight="1" thickBot="1" x14ac:dyDescent="0.3">
      <c r="B22" s="96" t="s">
        <v>1244</v>
      </c>
      <c r="C22" s="76">
        <v>4</v>
      </c>
      <c r="D22" s="77">
        <v>5.5</v>
      </c>
      <c r="E22" s="76">
        <v>54</v>
      </c>
      <c r="F22" s="77">
        <v>21.3</v>
      </c>
      <c r="G22" s="92" t="s">
        <v>46</v>
      </c>
      <c r="H22" s="192"/>
      <c r="I22" s="186">
        <v>681.13190673259203</v>
      </c>
      <c r="J22" s="86"/>
      <c r="K22" s="121">
        <v>568.90880081784007</v>
      </c>
      <c r="L22" s="76" t="s">
        <v>24</v>
      </c>
      <c r="M22" s="81">
        <v>2900</v>
      </c>
      <c r="N22" s="81">
        <v>52</v>
      </c>
      <c r="O22" s="82">
        <v>6.6000000000000003E-2</v>
      </c>
    </row>
    <row r="23" spans="2:15" s="47" customFormat="1" ht="18" customHeight="1" thickBot="1" x14ac:dyDescent="0.3">
      <c r="B23" s="96" t="s">
        <v>1245</v>
      </c>
      <c r="C23" s="76">
        <v>5.5</v>
      </c>
      <c r="D23" s="77">
        <v>7.5</v>
      </c>
      <c r="E23" s="76">
        <v>54</v>
      </c>
      <c r="F23" s="77">
        <v>26.6</v>
      </c>
      <c r="G23" s="92" t="s">
        <v>46</v>
      </c>
      <c r="H23" s="193"/>
      <c r="I23" s="189"/>
      <c r="J23" s="86"/>
      <c r="K23" s="121">
        <v>672.40344293922249</v>
      </c>
      <c r="L23" s="76" t="s">
        <v>24</v>
      </c>
      <c r="M23" s="81">
        <v>2900</v>
      </c>
      <c r="N23" s="81">
        <v>64</v>
      </c>
      <c r="O23" s="82">
        <v>6.6000000000000003E-2</v>
      </c>
    </row>
    <row r="24" spans="2:15" s="47" customFormat="1" ht="18" customHeight="1" thickBot="1" x14ac:dyDescent="0.3">
      <c r="B24" s="96" t="s">
        <v>1246</v>
      </c>
      <c r="C24" s="76">
        <v>7.5</v>
      </c>
      <c r="D24" s="77">
        <v>10</v>
      </c>
      <c r="E24" s="76">
        <v>60</v>
      </c>
      <c r="F24" s="77">
        <v>32.6</v>
      </c>
      <c r="G24" s="92" t="s">
        <v>46</v>
      </c>
      <c r="H24" s="193"/>
      <c r="I24" s="189"/>
      <c r="J24" s="86"/>
      <c r="K24" s="121">
        <v>748.77750113120635</v>
      </c>
      <c r="L24" s="76" t="s">
        <v>24</v>
      </c>
      <c r="M24" s="81">
        <v>2900</v>
      </c>
      <c r="N24" s="81">
        <v>71</v>
      </c>
      <c r="O24" s="82">
        <v>6.6000000000000003E-2</v>
      </c>
    </row>
    <row r="25" spans="2:15" s="47" customFormat="1" ht="18" customHeight="1" thickBot="1" x14ac:dyDescent="0.3">
      <c r="B25" s="96" t="s">
        <v>1247</v>
      </c>
      <c r="C25" s="76">
        <v>2.2000000000000002</v>
      </c>
      <c r="D25" s="77">
        <v>3</v>
      </c>
      <c r="E25" s="76">
        <v>30</v>
      </c>
      <c r="F25" s="77">
        <v>16.8</v>
      </c>
      <c r="G25" s="92" t="s">
        <v>47</v>
      </c>
      <c r="H25" s="192"/>
      <c r="I25" s="186">
        <v>399.63894939642239</v>
      </c>
      <c r="J25" s="86"/>
      <c r="K25" s="121">
        <v>373.45355801631365</v>
      </c>
      <c r="L25" s="76" t="s">
        <v>348</v>
      </c>
      <c r="M25" s="81">
        <v>2900</v>
      </c>
      <c r="N25" s="81">
        <v>30</v>
      </c>
      <c r="O25" s="82">
        <v>4.7E-2</v>
      </c>
    </row>
    <row r="26" spans="2:15" s="47" customFormat="1" ht="18" customHeight="1" thickBot="1" x14ac:dyDescent="0.3">
      <c r="B26" s="96" t="s">
        <v>1248</v>
      </c>
      <c r="C26" s="76">
        <v>3</v>
      </c>
      <c r="D26" s="77">
        <v>4</v>
      </c>
      <c r="E26" s="76">
        <v>30</v>
      </c>
      <c r="F26" s="77">
        <v>19.5</v>
      </c>
      <c r="G26" s="92" t="s">
        <v>47</v>
      </c>
      <c r="H26" s="192"/>
      <c r="I26" s="186">
        <v>518.72013400596484</v>
      </c>
      <c r="J26" s="86"/>
      <c r="K26" s="121">
        <v>468.21973634432641</v>
      </c>
      <c r="L26" s="76" t="s">
        <v>348</v>
      </c>
      <c r="M26" s="81">
        <v>2900</v>
      </c>
      <c r="N26" s="81">
        <v>35</v>
      </c>
      <c r="O26" s="82">
        <v>4.7E-2</v>
      </c>
    </row>
    <row r="27" spans="2:15" s="47" customFormat="1" ht="18" customHeight="1" thickBot="1" x14ac:dyDescent="0.3">
      <c r="B27" s="96" t="s">
        <v>1249</v>
      </c>
      <c r="C27" s="76">
        <v>4</v>
      </c>
      <c r="D27" s="77">
        <v>5.5</v>
      </c>
      <c r="E27" s="76">
        <v>60</v>
      </c>
      <c r="F27" s="77">
        <v>15.5</v>
      </c>
      <c r="G27" s="92" t="s">
        <v>47</v>
      </c>
      <c r="H27" s="192"/>
      <c r="I27" s="186">
        <v>733.19095864304632</v>
      </c>
      <c r="J27" s="86"/>
      <c r="K27" s="121">
        <v>639.35997286432325</v>
      </c>
      <c r="L27" s="76" t="s">
        <v>24</v>
      </c>
      <c r="M27" s="81">
        <v>2900</v>
      </c>
      <c r="N27" s="81">
        <v>40</v>
      </c>
      <c r="O27" s="82">
        <v>4.4999999999999998E-2</v>
      </c>
    </row>
    <row r="28" spans="2:15" s="47" customFormat="1" ht="18" customHeight="1" thickBot="1" x14ac:dyDescent="0.3">
      <c r="B28" s="96" t="s">
        <v>1250</v>
      </c>
      <c r="C28" s="76">
        <v>5.5</v>
      </c>
      <c r="D28" s="77">
        <v>7.5</v>
      </c>
      <c r="E28" s="76">
        <v>66</v>
      </c>
      <c r="F28" s="77">
        <v>19.7</v>
      </c>
      <c r="G28" s="92" t="s">
        <v>47</v>
      </c>
      <c r="H28" s="193"/>
      <c r="I28" s="189"/>
      <c r="J28" s="86"/>
      <c r="K28" s="121">
        <v>717.9161470046497</v>
      </c>
      <c r="L28" s="76" t="s">
        <v>24</v>
      </c>
      <c r="M28" s="81">
        <v>2900</v>
      </c>
      <c r="N28" s="81">
        <v>68</v>
      </c>
      <c r="O28" s="82">
        <v>7.0000000000000007E-2</v>
      </c>
    </row>
    <row r="29" spans="2:15" s="47" customFormat="1" ht="18" customHeight="1" thickBot="1" x14ac:dyDescent="0.3">
      <c r="B29" s="96" t="s">
        <v>1251</v>
      </c>
      <c r="C29" s="76">
        <v>7.5</v>
      </c>
      <c r="D29" s="77">
        <v>10</v>
      </c>
      <c r="E29" s="76">
        <v>66</v>
      </c>
      <c r="F29" s="77">
        <v>24.5</v>
      </c>
      <c r="G29" s="92" t="s">
        <v>47</v>
      </c>
      <c r="H29" s="193"/>
      <c r="I29" s="189"/>
      <c r="J29" s="86"/>
      <c r="K29" s="121">
        <v>789.61424245018566</v>
      </c>
      <c r="L29" s="76" t="s">
        <v>24</v>
      </c>
      <c r="M29" s="81">
        <v>2900</v>
      </c>
      <c r="N29" s="81">
        <v>74</v>
      </c>
      <c r="O29" s="82">
        <v>7.0000000000000007E-2</v>
      </c>
    </row>
    <row r="30" spans="2:15" s="47" customFormat="1" ht="18" customHeight="1" thickBot="1" x14ac:dyDescent="0.3">
      <c r="B30" s="96" t="s">
        <v>1252</v>
      </c>
      <c r="C30" s="76">
        <v>9.1999999999999993</v>
      </c>
      <c r="D30" s="77">
        <v>12.5</v>
      </c>
      <c r="E30" s="76">
        <v>72</v>
      </c>
      <c r="F30" s="77">
        <v>30</v>
      </c>
      <c r="G30" s="92" t="s">
        <v>47</v>
      </c>
      <c r="H30" s="193"/>
      <c r="I30" s="189"/>
      <c r="J30" s="86"/>
      <c r="K30" s="121">
        <v>1026.2179574204545</v>
      </c>
      <c r="L30" s="76" t="s">
        <v>24</v>
      </c>
      <c r="M30" s="81">
        <v>2900</v>
      </c>
      <c r="N30" s="81">
        <v>90</v>
      </c>
      <c r="O30" s="82">
        <v>0.13800000000000001</v>
      </c>
    </row>
    <row r="31" spans="2:15" s="47" customFormat="1" ht="18" customHeight="1" thickBot="1" x14ac:dyDescent="0.3">
      <c r="B31" s="96" t="s">
        <v>1253</v>
      </c>
      <c r="C31" s="76">
        <v>11</v>
      </c>
      <c r="D31" s="77">
        <v>15</v>
      </c>
      <c r="E31" s="76">
        <v>84</v>
      </c>
      <c r="F31" s="77">
        <v>31.5</v>
      </c>
      <c r="G31" s="92" t="s">
        <v>47</v>
      </c>
      <c r="H31" s="193"/>
      <c r="I31" s="189"/>
      <c r="J31" s="86"/>
      <c r="K31" s="121">
        <v>1244.1178214049314</v>
      </c>
      <c r="L31" s="76" t="s">
        <v>24</v>
      </c>
      <c r="M31" s="81">
        <v>2900</v>
      </c>
      <c r="N31" s="81">
        <v>106</v>
      </c>
      <c r="O31" s="82">
        <v>0.13800000000000001</v>
      </c>
    </row>
    <row r="32" spans="2:15" s="47" customFormat="1" ht="18" customHeight="1" thickBot="1" x14ac:dyDescent="0.3">
      <c r="B32" s="96" t="s">
        <v>1254</v>
      </c>
      <c r="C32" s="76">
        <v>15</v>
      </c>
      <c r="D32" s="77">
        <v>20</v>
      </c>
      <c r="E32" s="76">
        <v>90</v>
      </c>
      <c r="F32" s="77">
        <v>37.799999999999997</v>
      </c>
      <c r="G32" s="92" t="s">
        <v>47</v>
      </c>
      <c r="H32" s="193"/>
      <c r="I32" s="189"/>
      <c r="J32" s="86"/>
      <c r="K32" s="121">
        <v>1611.0250315762175</v>
      </c>
      <c r="L32" s="76" t="s">
        <v>24</v>
      </c>
      <c r="M32" s="81">
        <v>2900</v>
      </c>
      <c r="N32" s="81">
        <v>134</v>
      </c>
      <c r="O32" s="82">
        <v>0.13800000000000001</v>
      </c>
    </row>
    <row r="33" spans="2:16" s="47" customFormat="1" ht="18" customHeight="1" thickBot="1" x14ac:dyDescent="0.3">
      <c r="B33" s="96" t="s">
        <v>1255</v>
      </c>
      <c r="C33" s="76">
        <v>18.5</v>
      </c>
      <c r="D33" s="77">
        <v>25</v>
      </c>
      <c r="E33" s="76">
        <v>90</v>
      </c>
      <c r="F33" s="77">
        <v>45</v>
      </c>
      <c r="G33" s="92" t="s">
        <v>47</v>
      </c>
      <c r="H33" s="193"/>
      <c r="I33" s="189"/>
      <c r="J33" s="86"/>
      <c r="K33" s="121">
        <v>1741.9519884767615</v>
      </c>
      <c r="L33" s="76" t="s">
        <v>24</v>
      </c>
      <c r="M33" s="81">
        <v>2900</v>
      </c>
      <c r="N33" s="81">
        <v>155</v>
      </c>
      <c r="O33" s="82">
        <v>0.13800000000000001</v>
      </c>
    </row>
    <row r="34" spans="2:16" ht="8.25" customHeight="1" thickBot="1" x14ac:dyDescent="0.3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7"/>
    </row>
    <row r="35" spans="2:16" ht="15" customHeight="1" x14ac:dyDescent="0.25">
      <c r="B35" s="180" t="s">
        <v>32</v>
      </c>
      <c r="C35" s="45" t="s">
        <v>33</v>
      </c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</row>
    <row r="36" spans="2:16" ht="15" customHeight="1" x14ac:dyDescent="0.25">
      <c r="B36" s="181" t="s">
        <v>308</v>
      </c>
      <c r="C36" s="50" t="s">
        <v>701</v>
      </c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47"/>
    </row>
    <row r="37" spans="2:16" ht="15" customHeight="1" x14ac:dyDescent="0.25">
      <c r="B37" s="181" t="s">
        <v>702</v>
      </c>
      <c r="C37" s="50" t="s">
        <v>703</v>
      </c>
      <c r="D37" s="206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47"/>
    </row>
    <row r="38" spans="2:16" ht="15" customHeight="1" x14ac:dyDescent="0.25">
      <c r="B38" s="204" t="s">
        <v>4</v>
      </c>
      <c r="C38" s="53" t="s">
        <v>349</v>
      </c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47"/>
    </row>
    <row r="39" spans="2:16" s="217" customFormat="1" ht="15" customHeight="1" x14ac:dyDescent="0.25">
      <c r="B39" s="181" t="s">
        <v>704</v>
      </c>
      <c r="C39" s="208" t="s">
        <v>705</v>
      </c>
      <c r="D39" s="53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2:16" s="217" customFormat="1" ht="15" customHeight="1" x14ac:dyDescent="0.25">
      <c r="B40" s="205" t="s">
        <v>59</v>
      </c>
      <c r="C40" s="323" t="s">
        <v>60</v>
      </c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</row>
    <row r="41" spans="2:16" x14ac:dyDescent="0.25">
      <c r="P41" s="47"/>
    </row>
    <row r="42" spans="2:16" x14ac:dyDescent="0.25">
      <c r="P42" s="47"/>
    </row>
    <row r="43" spans="2:16" x14ac:dyDescent="0.25">
      <c r="P43" s="47"/>
    </row>
    <row r="44" spans="2:16" x14ac:dyDescent="0.25">
      <c r="P44" s="47"/>
    </row>
    <row r="45" spans="2:16" x14ac:dyDescent="0.25">
      <c r="P45" s="47"/>
    </row>
    <row r="46" spans="2:16" x14ac:dyDescent="0.25">
      <c r="P46" s="47"/>
    </row>
    <row r="47" spans="2:16" x14ac:dyDescent="0.25">
      <c r="P47" s="47"/>
    </row>
    <row r="48" spans="2:16" x14ac:dyDescent="0.25">
      <c r="P48" s="47"/>
    </row>
    <row r="49" spans="16:16" x14ac:dyDescent="0.25">
      <c r="P49" s="47"/>
    </row>
    <row r="50" spans="16:16" x14ac:dyDescent="0.25">
      <c r="P50" s="47"/>
    </row>
    <row r="51" spans="16:16" x14ac:dyDescent="0.25">
      <c r="P51" s="47"/>
    </row>
    <row r="52" spans="16:16" x14ac:dyDescent="0.25">
      <c r="P52" s="47"/>
    </row>
    <row r="53" spans="16:16" x14ac:dyDescent="0.25">
      <c r="P53" s="47"/>
    </row>
    <row r="54" spans="16:16" x14ac:dyDescent="0.25">
      <c r="P54" s="47"/>
    </row>
    <row r="55" spans="16:16" x14ac:dyDescent="0.25">
      <c r="P55" s="47"/>
    </row>
    <row r="56" spans="16:16" x14ac:dyDescent="0.25">
      <c r="P56" s="47"/>
    </row>
    <row r="57" spans="16:16" x14ac:dyDescent="0.25">
      <c r="P57" s="47"/>
    </row>
    <row r="58" spans="16:16" x14ac:dyDescent="0.25">
      <c r="P58" s="47"/>
    </row>
    <row r="59" spans="16:16" x14ac:dyDescent="0.25">
      <c r="P59" s="47"/>
    </row>
    <row r="60" spans="16:16" x14ac:dyDescent="0.25">
      <c r="P60" s="47"/>
    </row>
    <row r="61" spans="16:16" x14ac:dyDescent="0.25">
      <c r="P61" s="47"/>
    </row>
    <row r="62" spans="16:16" x14ac:dyDescent="0.25">
      <c r="P62" s="47"/>
    </row>
    <row r="63" spans="16:16" x14ac:dyDescent="0.25">
      <c r="P63" s="47"/>
    </row>
  </sheetData>
  <mergeCells count="10">
    <mergeCell ref="C40:O40"/>
    <mergeCell ref="B6:O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activeCell="H23" sqref="H23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75" customWidth="1"/>
    <col min="9" max="9" width="10.85546875" style="1" customWidth="1"/>
    <col min="10" max="10" width="14.140625" style="175" customWidth="1"/>
    <col min="11" max="15" width="10.85546875" style="1" customWidth="1"/>
    <col min="16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69" width="10.85546875" style="1" customWidth="1"/>
    <col min="270" max="271" width="8.5703125" style="1" customWidth="1"/>
    <col min="272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5" width="10.85546875" style="1" customWidth="1"/>
    <col min="526" max="527" width="8.5703125" style="1" customWidth="1"/>
    <col min="528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1" width="10.85546875" style="1" customWidth="1"/>
    <col min="782" max="783" width="8.5703125" style="1" customWidth="1"/>
    <col min="784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7" width="10.85546875" style="1" customWidth="1"/>
    <col min="1038" max="1039" width="8.5703125" style="1" customWidth="1"/>
    <col min="1040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3" width="10.85546875" style="1" customWidth="1"/>
    <col min="1294" max="1295" width="8.5703125" style="1" customWidth="1"/>
    <col min="1296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49" width="10.85546875" style="1" customWidth="1"/>
    <col min="1550" max="1551" width="8.5703125" style="1" customWidth="1"/>
    <col min="1552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5" width="10.85546875" style="1" customWidth="1"/>
    <col min="1806" max="1807" width="8.5703125" style="1" customWidth="1"/>
    <col min="1808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1" width="10.85546875" style="1" customWidth="1"/>
    <col min="2062" max="2063" width="8.5703125" style="1" customWidth="1"/>
    <col min="2064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7" width="10.85546875" style="1" customWidth="1"/>
    <col min="2318" max="2319" width="8.5703125" style="1" customWidth="1"/>
    <col min="2320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3" width="10.85546875" style="1" customWidth="1"/>
    <col min="2574" max="2575" width="8.5703125" style="1" customWidth="1"/>
    <col min="2576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29" width="10.85546875" style="1" customWidth="1"/>
    <col min="2830" max="2831" width="8.5703125" style="1" customWidth="1"/>
    <col min="2832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5" width="10.85546875" style="1" customWidth="1"/>
    <col min="3086" max="3087" width="8.5703125" style="1" customWidth="1"/>
    <col min="3088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1" width="10.85546875" style="1" customWidth="1"/>
    <col min="3342" max="3343" width="8.5703125" style="1" customWidth="1"/>
    <col min="3344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7" width="10.85546875" style="1" customWidth="1"/>
    <col min="3598" max="3599" width="8.5703125" style="1" customWidth="1"/>
    <col min="3600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3" width="10.85546875" style="1" customWidth="1"/>
    <col min="3854" max="3855" width="8.5703125" style="1" customWidth="1"/>
    <col min="3856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09" width="10.85546875" style="1" customWidth="1"/>
    <col min="4110" max="4111" width="8.5703125" style="1" customWidth="1"/>
    <col min="4112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5" width="10.85546875" style="1" customWidth="1"/>
    <col min="4366" max="4367" width="8.5703125" style="1" customWidth="1"/>
    <col min="4368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1" width="10.85546875" style="1" customWidth="1"/>
    <col min="4622" max="4623" width="8.5703125" style="1" customWidth="1"/>
    <col min="4624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7" width="10.85546875" style="1" customWidth="1"/>
    <col min="4878" max="4879" width="8.5703125" style="1" customWidth="1"/>
    <col min="4880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3" width="10.85546875" style="1" customWidth="1"/>
    <col min="5134" max="5135" width="8.5703125" style="1" customWidth="1"/>
    <col min="5136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89" width="10.85546875" style="1" customWidth="1"/>
    <col min="5390" max="5391" width="8.5703125" style="1" customWidth="1"/>
    <col min="5392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5" width="10.85546875" style="1" customWidth="1"/>
    <col min="5646" max="5647" width="8.5703125" style="1" customWidth="1"/>
    <col min="5648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1" width="10.85546875" style="1" customWidth="1"/>
    <col min="5902" max="5903" width="8.5703125" style="1" customWidth="1"/>
    <col min="5904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7" width="10.85546875" style="1" customWidth="1"/>
    <col min="6158" max="6159" width="8.5703125" style="1" customWidth="1"/>
    <col min="6160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3" width="10.85546875" style="1" customWidth="1"/>
    <col min="6414" max="6415" width="8.5703125" style="1" customWidth="1"/>
    <col min="6416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69" width="10.85546875" style="1" customWidth="1"/>
    <col min="6670" max="6671" width="8.5703125" style="1" customWidth="1"/>
    <col min="6672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5" width="10.85546875" style="1" customWidth="1"/>
    <col min="6926" max="6927" width="8.5703125" style="1" customWidth="1"/>
    <col min="6928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1" width="10.85546875" style="1" customWidth="1"/>
    <col min="7182" max="7183" width="8.5703125" style="1" customWidth="1"/>
    <col min="7184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7" width="10.85546875" style="1" customWidth="1"/>
    <col min="7438" max="7439" width="8.5703125" style="1" customWidth="1"/>
    <col min="7440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3" width="10.85546875" style="1" customWidth="1"/>
    <col min="7694" max="7695" width="8.5703125" style="1" customWidth="1"/>
    <col min="7696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49" width="10.85546875" style="1" customWidth="1"/>
    <col min="7950" max="7951" width="8.5703125" style="1" customWidth="1"/>
    <col min="7952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5" width="10.85546875" style="1" customWidth="1"/>
    <col min="8206" max="8207" width="8.5703125" style="1" customWidth="1"/>
    <col min="8208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1" width="10.85546875" style="1" customWidth="1"/>
    <col min="8462" max="8463" width="8.5703125" style="1" customWidth="1"/>
    <col min="8464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7" width="10.85546875" style="1" customWidth="1"/>
    <col min="8718" max="8719" width="8.5703125" style="1" customWidth="1"/>
    <col min="8720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3" width="10.85546875" style="1" customWidth="1"/>
    <col min="8974" max="8975" width="8.5703125" style="1" customWidth="1"/>
    <col min="8976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29" width="10.85546875" style="1" customWidth="1"/>
    <col min="9230" max="9231" width="8.5703125" style="1" customWidth="1"/>
    <col min="9232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5" width="10.85546875" style="1" customWidth="1"/>
    <col min="9486" max="9487" width="8.5703125" style="1" customWidth="1"/>
    <col min="9488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1" width="10.85546875" style="1" customWidth="1"/>
    <col min="9742" max="9743" width="8.5703125" style="1" customWidth="1"/>
    <col min="9744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7" width="10.85546875" style="1" customWidth="1"/>
    <col min="9998" max="9999" width="8.5703125" style="1" customWidth="1"/>
    <col min="10000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3" width="10.85546875" style="1" customWidth="1"/>
    <col min="10254" max="10255" width="8.5703125" style="1" customWidth="1"/>
    <col min="10256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09" width="10.85546875" style="1" customWidth="1"/>
    <col min="10510" max="10511" width="8.5703125" style="1" customWidth="1"/>
    <col min="10512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5" width="10.85546875" style="1" customWidth="1"/>
    <col min="10766" max="10767" width="8.5703125" style="1" customWidth="1"/>
    <col min="10768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1" width="10.85546875" style="1" customWidth="1"/>
    <col min="11022" max="11023" width="8.5703125" style="1" customWidth="1"/>
    <col min="11024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7" width="10.85546875" style="1" customWidth="1"/>
    <col min="11278" max="11279" width="8.5703125" style="1" customWidth="1"/>
    <col min="11280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3" width="10.85546875" style="1" customWidth="1"/>
    <col min="11534" max="11535" width="8.5703125" style="1" customWidth="1"/>
    <col min="11536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89" width="10.85546875" style="1" customWidth="1"/>
    <col min="11790" max="11791" width="8.5703125" style="1" customWidth="1"/>
    <col min="11792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5" width="10.85546875" style="1" customWidth="1"/>
    <col min="12046" max="12047" width="8.5703125" style="1" customWidth="1"/>
    <col min="12048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1" width="10.85546875" style="1" customWidth="1"/>
    <col min="12302" max="12303" width="8.5703125" style="1" customWidth="1"/>
    <col min="12304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7" width="10.85546875" style="1" customWidth="1"/>
    <col min="12558" max="12559" width="8.5703125" style="1" customWidth="1"/>
    <col min="12560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3" width="10.85546875" style="1" customWidth="1"/>
    <col min="12814" max="12815" width="8.5703125" style="1" customWidth="1"/>
    <col min="12816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69" width="10.85546875" style="1" customWidth="1"/>
    <col min="13070" max="13071" width="8.5703125" style="1" customWidth="1"/>
    <col min="13072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5" width="10.85546875" style="1" customWidth="1"/>
    <col min="13326" max="13327" width="8.5703125" style="1" customWidth="1"/>
    <col min="13328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1" width="10.85546875" style="1" customWidth="1"/>
    <col min="13582" max="13583" width="8.5703125" style="1" customWidth="1"/>
    <col min="13584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7" width="10.85546875" style="1" customWidth="1"/>
    <col min="13838" max="13839" width="8.5703125" style="1" customWidth="1"/>
    <col min="13840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3" width="10.85546875" style="1" customWidth="1"/>
    <col min="14094" max="14095" width="8.5703125" style="1" customWidth="1"/>
    <col min="14096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49" width="10.85546875" style="1" customWidth="1"/>
    <col min="14350" max="14351" width="8.5703125" style="1" customWidth="1"/>
    <col min="14352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5" width="10.85546875" style="1" customWidth="1"/>
    <col min="14606" max="14607" width="8.5703125" style="1" customWidth="1"/>
    <col min="14608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1" width="10.85546875" style="1" customWidth="1"/>
    <col min="14862" max="14863" width="8.5703125" style="1" customWidth="1"/>
    <col min="14864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7" width="10.85546875" style="1" customWidth="1"/>
    <col min="15118" max="15119" width="8.5703125" style="1" customWidth="1"/>
    <col min="15120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3" width="10.85546875" style="1" customWidth="1"/>
    <col min="15374" max="15375" width="8.5703125" style="1" customWidth="1"/>
    <col min="15376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29" width="10.85546875" style="1" customWidth="1"/>
    <col min="15630" max="15631" width="8.5703125" style="1" customWidth="1"/>
    <col min="15632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5" width="10.85546875" style="1" customWidth="1"/>
    <col min="15886" max="15887" width="8.5703125" style="1" customWidth="1"/>
    <col min="15888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1" width="10.85546875" style="1" customWidth="1"/>
    <col min="16142" max="16143" width="8.5703125" style="1" customWidth="1"/>
    <col min="16144" max="16384" width="9.140625" style="1"/>
  </cols>
  <sheetData>
    <row r="1" spans="1:16" s="217" customFormat="1" x14ac:dyDescent="0.25"/>
    <row r="2" spans="1:16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s="8" customFormat="1" ht="18" customHeight="1" thickBot="1" x14ac:dyDescent="0.3">
      <c r="B5" s="9"/>
      <c r="L5" s="10"/>
      <c r="M5" s="10"/>
      <c r="N5" s="10"/>
      <c r="O5" s="11"/>
      <c r="P5" s="11"/>
    </row>
    <row r="6" spans="1:16" s="63" customFormat="1" ht="32.1" customHeight="1" thickBot="1" x14ac:dyDescent="0.3">
      <c r="B6" s="391" t="s">
        <v>1256</v>
      </c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58"/>
      <c r="N6" s="358"/>
      <c r="O6" s="358"/>
    </row>
    <row r="7" spans="1:16" s="217" customFormat="1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120"/>
      <c r="O7" s="120"/>
    </row>
    <row r="8" spans="1:16" s="47" customFormat="1" ht="18" customHeight="1" x14ac:dyDescent="0.25">
      <c r="A8" s="59"/>
      <c r="B8" s="341" t="s">
        <v>1</v>
      </c>
      <c r="C8" s="337" t="s">
        <v>2</v>
      </c>
      <c r="D8" s="338"/>
      <c r="E8" s="346" t="s">
        <v>3</v>
      </c>
      <c r="F8" s="346"/>
      <c r="G8" s="219" t="s">
        <v>4</v>
      </c>
      <c r="H8" s="330" t="s">
        <v>5</v>
      </c>
      <c r="I8" s="331"/>
      <c r="J8" s="331"/>
      <c r="K8" s="332"/>
      <c r="L8" s="325" t="s">
        <v>6</v>
      </c>
      <c r="M8" s="328" t="s">
        <v>7</v>
      </c>
      <c r="N8" s="312" t="s">
        <v>8</v>
      </c>
      <c r="O8" s="16" t="s">
        <v>9</v>
      </c>
    </row>
    <row r="9" spans="1:16" s="59" customFormat="1" ht="18" customHeight="1" x14ac:dyDescent="0.25">
      <c r="A9" s="216" t="s">
        <v>350</v>
      </c>
      <c r="B9" s="342"/>
      <c r="C9" s="339"/>
      <c r="D9" s="340"/>
      <c r="E9" s="224" t="s">
        <v>10</v>
      </c>
      <c r="F9" s="218" t="s">
        <v>11</v>
      </c>
      <c r="G9" s="116"/>
      <c r="H9" s="333" t="s">
        <v>42</v>
      </c>
      <c r="I9" s="334"/>
      <c r="J9" s="344" t="s">
        <v>43</v>
      </c>
      <c r="K9" s="345"/>
      <c r="L9" s="326"/>
      <c r="M9" s="329"/>
      <c r="N9" s="313"/>
      <c r="O9" s="22"/>
    </row>
    <row r="10" spans="1:16" s="47" customFormat="1" ht="18" customHeight="1" thickBot="1" x14ac:dyDescent="0.3">
      <c r="B10" s="343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17</v>
      </c>
      <c r="J10" s="27" t="s">
        <v>717</v>
      </c>
      <c r="K10" s="98" t="s">
        <v>18</v>
      </c>
      <c r="L10" s="327"/>
      <c r="M10" s="26" t="s">
        <v>19</v>
      </c>
      <c r="N10" s="314" t="s">
        <v>20</v>
      </c>
      <c r="O10" s="320" t="s">
        <v>21</v>
      </c>
    </row>
    <row r="11" spans="1:16" s="47" customFormat="1" ht="18" customHeight="1" thickBot="1" x14ac:dyDescent="0.3">
      <c r="B11" s="270" t="s">
        <v>1326</v>
      </c>
      <c r="C11" s="76">
        <v>1.1000000000000001</v>
      </c>
      <c r="D11" s="77">
        <v>1.5</v>
      </c>
      <c r="E11" s="76">
        <v>3.6</v>
      </c>
      <c r="F11" s="77">
        <v>36</v>
      </c>
      <c r="G11" s="92" t="s">
        <v>351</v>
      </c>
      <c r="H11" s="193"/>
      <c r="I11" s="263" t="s">
        <v>53</v>
      </c>
      <c r="J11" s="264"/>
      <c r="K11" s="265" t="s">
        <v>53</v>
      </c>
      <c r="L11" s="76" t="s">
        <v>348</v>
      </c>
      <c r="M11" s="81">
        <v>2900</v>
      </c>
      <c r="N11" s="81">
        <v>18.8</v>
      </c>
      <c r="O11" s="82">
        <f>0.42*0.22*0.27</f>
        <v>2.4948000000000001E-2</v>
      </c>
    </row>
    <row r="12" spans="1:16" s="47" customFormat="1" ht="18" customHeight="1" thickBot="1" x14ac:dyDescent="0.3">
      <c r="B12" s="270" t="s">
        <v>1327</v>
      </c>
      <c r="C12" s="76">
        <v>1.5</v>
      </c>
      <c r="D12" s="77">
        <v>2</v>
      </c>
      <c r="E12" s="76">
        <v>4.2</v>
      </c>
      <c r="F12" s="77">
        <v>45</v>
      </c>
      <c r="G12" s="92" t="s">
        <v>351</v>
      </c>
      <c r="H12" s="193"/>
      <c r="I12" s="263" t="s">
        <v>53</v>
      </c>
      <c r="J12" s="264"/>
      <c r="K12" s="265" t="s">
        <v>53</v>
      </c>
      <c r="L12" s="76" t="s">
        <v>348</v>
      </c>
      <c r="M12" s="81">
        <v>2900</v>
      </c>
      <c r="N12" s="81">
        <v>23</v>
      </c>
      <c r="O12" s="82">
        <f>0.42*0.22*0.27</f>
        <v>2.4948000000000001E-2</v>
      </c>
    </row>
    <row r="13" spans="1:16" s="47" customFormat="1" ht="18" customHeight="1" thickBot="1" x14ac:dyDescent="0.3">
      <c r="B13" s="96" t="s">
        <v>1328</v>
      </c>
      <c r="C13" s="76">
        <v>1.1000000000000001</v>
      </c>
      <c r="D13" s="77">
        <v>1.5</v>
      </c>
      <c r="E13" s="76">
        <v>4.8</v>
      </c>
      <c r="F13" s="77">
        <v>32</v>
      </c>
      <c r="G13" s="92" t="s">
        <v>351</v>
      </c>
      <c r="H13" s="192"/>
      <c r="I13" s="262">
        <v>387.16971540589446</v>
      </c>
      <c r="J13" s="86"/>
      <c r="K13" s="121">
        <v>367.2189410210496</v>
      </c>
      <c r="L13" s="76" t="s">
        <v>348</v>
      </c>
      <c r="M13" s="81">
        <v>2900</v>
      </c>
      <c r="N13" s="81">
        <v>18.8</v>
      </c>
      <c r="O13" s="82">
        <f>0.42*0.24*0.31</f>
        <v>3.1247999999999995E-2</v>
      </c>
    </row>
    <row r="14" spans="1:16" s="47" customFormat="1" ht="18" customHeight="1" thickBot="1" x14ac:dyDescent="0.3">
      <c r="B14" s="96" t="s">
        <v>1329</v>
      </c>
      <c r="C14" s="76">
        <v>1.5</v>
      </c>
      <c r="D14" s="77">
        <v>2</v>
      </c>
      <c r="E14" s="76">
        <v>4.8</v>
      </c>
      <c r="F14" s="77">
        <v>44</v>
      </c>
      <c r="G14" s="92" t="s">
        <v>351</v>
      </c>
      <c r="H14" s="192"/>
      <c r="I14" s="262">
        <v>397.14510259831678</v>
      </c>
      <c r="J14" s="86"/>
      <c r="K14" s="121">
        <v>377.50605906323517</v>
      </c>
      <c r="L14" s="76" t="s">
        <v>348</v>
      </c>
      <c r="M14" s="81">
        <v>2900</v>
      </c>
      <c r="N14" s="81">
        <v>23.2</v>
      </c>
      <c r="O14" s="82">
        <f>0.42*0.24*0.31</f>
        <v>3.1247999999999995E-2</v>
      </c>
    </row>
    <row r="15" spans="1:16" s="47" customFormat="1" ht="18" customHeight="1" thickBot="1" x14ac:dyDescent="0.3">
      <c r="B15" s="96" t="s">
        <v>1330</v>
      </c>
      <c r="C15" s="76">
        <v>2.2000000000000002</v>
      </c>
      <c r="D15" s="77">
        <v>3</v>
      </c>
      <c r="E15" s="76">
        <v>4.8</v>
      </c>
      <c r="F15" s="77">
        <v>55</v>
      </c>
      <c r="G15" s="92" t="s">
        <v>351</v>
      </c>
      <c r="H15" s="192"/>
      <c r="I15" s="262">
        <v>423.64222482818889</v>
      </c>
      <c r="J15" s="86"/>
      <c r="K15" s="121">
        <v>384.36413775802561</v>
      </c>
      <c r="L15" s="76" t="s">
        <v>348</v>
      </c>
      <c r="M15" s="81">
        <v>2900</v>
      </c>
      <c r="N15" s="81">
        <v>24.5</v>
      </c>
      <c r="O15" s="82">
        <f>0.42*0.24*0.31</f>
        <v>3.1247999999999995E-2</v>
      </c>
    </row>
    <row r="16" spans="1:16" s="47" customFormat="1" ht="18" customHeight="1" thickBot="1" x14ac:dyDescent="0.3">
      <c r="B16" s="96" t="s">
        <v>1331</v>
      </c>
      <c r="C16" s="76">
        <v>3</v>
      </c>
      <c r="D16" s="77">
        <v>4</v>
      </c>
      <c r="E16" s="76">
        <v>6.6</v>
      </c>
      <c r="F16" s="77">
        <v>54</v>
      </c>
      <c r="G16" s="92" t="s">
        <v>352</v>
      </c>
      <c r="H16" s="192"/>
      <c r="I16" s="262">
        <v>550.20494983204799</v>
      </c>
      <c r="J16" s="86"/>
      <c r="K16" s="121">
        <v>527.7603286490978</v>
      </c>
      <c r="L16" s="76" t="s">
        <v>348</v>
      </c>
      <c r="M16" s="81">
        <v>2900</v>
      </c>
      <c r="N16" s="81">
        <v>38</v>
      </c>
      <c r="O16" s="82">
        <f>0.49*0.29*0.35</f>
        <v>4.9734999999999988E-2</v>
      </c>
    </row>
    <row r="17" spans="2:15" s="47" customFormat="1" ht="18" customHeight="1" thickBot="1" x14ac:dyDescent="0.3">
      <c r="B17" s="96" t="s">
        <v>1332</v>
      </c>
      <c r="C17" s="76">
        <v>4</v>
      </c>
      <c r="D17" s="77">
        <v>5.5</v>
      </c>
      <c r="E17" s="76">
        <v>6.6</v>
      </c>
      <c r="F17" s="77">
        <v>71</v>
      </c>
      <c r="G17" s="92" t="s">
        <v>352</v>
      </c>
      <c r="H17" s="193"/>
      <c r="I17" s="266"/>
      <c r="J17" s="41"/>
      <c r="K17" s="322">
        <v>567.97360826855038</v>
      </c>
      <c r="L17" s="76" t="s">
        <v>348</v>
      </c>
      <c r="M17" s="81">
        <v>2900</v>
      </c>
      <c r="N17" s="81">
        <v>43</v>
      </c>
      <c r="O17" s="82">
        <f>0.49*0.29*0.35</f>
        <v>4.9734999999999988E-2</v>
      </c>
    </row>
    <row r="18" spans="2:15" s="47" customFormat="1" ht="18" customHeight="1" thickBot="1" x14ac:dyDescent="0.3">
      <c r="B18" s="96" t="s">
        <v>1333</v>
      </c>
      <c r="C18" s="76">
        <v>5.5</v>
      </c>
      <c r="D18" s="77">
        <v>7.5</v>
      </c>
      <c r="E18" s="76">
        <v>7.2</v>
      </c>
      <c r="F18" s="77">
        <v>83</v>
      </c>
      <c r="G18" s="92" t="s">
        <v>22</v>
      </c>
      <c r="H18" s="193"/>
      <c r="I18" s="266"/>
      <c r="J18" s="41"/>
      <c r="K18" s="322">
        <v>866.61176234169591</v>
      </c>
      <c r="L18" s="76" t="s">
        <v>348</v>
      </c>
      <c r="M18" s="81">
        <v>2900</v>
      </c>
      <c r="N18" s="81">
        <v>54</v>
      </c>
      <c r="O18" s="82">
        <f t="shared" ref="O18:O24" si="0">0.56*0.32*0.38</f>
        <v>6.8096000000000004E-2</v>
      </c>
    </row>
    <row r="19" spans="2:15" s="47" customFormat="1" ht="18" customHeight="1" thickBot="1" x14ac:dyDescent="0.3">
      <c r="B19" s="96" t="s">
        <v>1334</v>
      </c>
      <c r="C19" s="76">
        <v>7.5</v>
      </c>
      <c r="D19" s="77">
        <v>10</v>
      </c>
      <c r="E19" s="76">
        <v>7.2</v>
      </c>
      <c r="F19" s="77">
        <v>103</v>
      </c>
      <c r="G19" s="92" t="s">
        <v>22</v>
      </c>
      <c r="H19" s="193"/>
      <c r="I19" s="266"/>
      <c r="J19" s="41"/>
      <c r="K19" s="322">
        <v>909.0071579094913</v>
      </c>
      <c r="L19" s="76" t="s">
        <v>348</v>
      </c>
      <c r="M19" s="81">
        <v>2900</v>
      </c>
      <c r="N19" s="81">
        <v>61</v>
      </c>
      <c r="O19" s="82">
        <f t="shared" si="0"/>
        <v>6.8096000000000004E-2</v>
      </c>
    </row>
    <row r="20" spans="2:15" s="47" customFormat="1" ht="18" customHeight="1" thickBot="1" x14ac:dyDescent="0.3">
      <c r="B20" s="96" t="s">
        <v>1335</v>
      </c>
      <c r="C20" s="76">
        <v>5.5</v>
      </c>
      <c r="D20" s="77">
        <v>7.5</v>
      </c>
      <c r="E20" s="76">
        <v>7.2</v>
      </c>
      <c r="F20" s="77">
        <v>83</v>
      </c>
      <c r="G20" s="92" t="s">
        <v>353</v>
      </c>
      <c r="H20" s="193"/>
      <c r="I20" s="266"/>
      <c r="J20" s="41"/>
      <c r="K20" s="322">
        <v>866.61176234169591</v>
      </c>
      <c r="L20" s="76" t="s">
        <v>348</v>
      </c>
      <c r="M20" s="81">
        <v>2900</v>
      </c>
      <c r="N20" s="81">
        <v>54</v>
      </c>
      <c r="O20" s="82">
        <f t="shared" si="0"/>
        <v>6.8096000000000004E-2</v>
      </c>
    </row>
    <row r="21" spans="2:15" s="47" customFormat="1" ht="18" customHeight="1" thickBot="1" x14ac:dyDescent="0.3">
      <c r="B21" s="96" t="s">
        <v>1336</v>
      </c>
      <c r="C21" s="76">
        <v>7.5</v>
      </c>
      <c r="D21" s="77">
        <v>10</v>
      </c>
      <c r="E21" s="76">
        <v>7.2</v>
      </c>
      <c r="F21" s="77">
        <v>103</v>
      </c>
      <c r="G21" s="92" t="s">
        <v>353</v>
      </c>
      <c r="H21" s="193"/>
      <c r="I21" s="266"/>
      <c r="J21" s="41"/>
      <c r="K21" s="322">
        <v>909.0071579094913</v>
      </c>
      <c r="L21" s="76" t="s">
        <v>348</v>
      </c>
      <c r="M21" s="81">
        <v>2900</v>
      </c>
      <c r="N21" s="81">
        <v>61</v>
      </c>
      <c r="O21" s="82">
        <f t="shared" si="0"/>
        <v>6.8096000000000004E-2</v>
      </c>
    </row>
    <row r="22" spans="2:15" s="47" customFormat="1" ht="18" customHeight="1" thickBot="1" x14ac:dyDescent="0.3">
      <c r="B22" s="96" t="s">
        <v>1337</v>
      </c>
      <c r="C22" s="76">
        <v>4</v>
      </c>
      <c r="D22" s="77">
        <v>5.5</v>
      </c>
      <c r="E22" s="76">
        <v>9.6</v>
      </c>
      <c r="F22" s="77">
        <v>50</v>
      </c>
      <c r="G22" s="92" t="s">
        <v>44</v>
      </c>
      <c r="H22" s="192"/>
      <c r="I22" s="262">
        <v>886.2508058767778</v>
      </c>
      <c r="J22" s="86"/>
      <c r="K22" s="121">
        <v>828.26886782082227</v>
      </c>
      <c r="L22" s="76" t="s">
        <v>348</v>
      </c>
      <c r="M22" s="81">
        <v>2900</v>
      </c>
      <c r="N22" s="81">
        <v>50</v>
      </c>
      <c r="O22" s="82">
        <f t="shared" si="0"/>
        <v>6.8096000000000004E-2</v>
      </c>
    </row>
    <row r="23" spans="2:15" s="47" customFormat="1" ht="18" customHeight="1" thickBot="1" x14ac:dyDescent="0.3">
      <c r="B23" s="96" t="s">
        <v>1338</v>
      </c>
      <c r="C23" s="76">
        <v>5.5</v>
      </c>
      <c r="D23" s="77">
        <v>7.5</v>
      </c>
      <c r="E23" s="76">
        <v>9.6</v>
      </c>
      <c r="F23" s="77">
        <v>60</v>
      </c>
      <c r="G23" s="92" t="s">
        <v>44</v>
      </c>
      <c r="H23" s="193"/>
      <c r="I23" s="266"/>
      <c r="J23" s="86"/>
      <c r="K23" s="121">
        <v>866.61176234169591</v>
      </c>
      <c r="L23" s="76" t="s">
        <v>348</v>
      </c>
      <c r="M23" s="81">
        <v>2900</v>
      </c>
      <c r="N23" s="81">
        <v>54</v>
      </c>
      <c r="O23" s="82">
        <f t="shared" si="0"/>
        <v>6.8096000000000004E-2</v>
      </c>
    </row>
    <row r="24" spans="2:15" s="47" customFormat="1" ht="18" customHeight="1" thickBot="1" x14ac:dyDescent="0.3">
      <c r="B24" s="96" t="s">
        <v>1339</v>
      </c>
      <c r="C24" s="76">
        <v>7.5</v>
      </c>
      <c r="D24" s="77">
        <v>10</v>
      </c>
      <c r="E24" s="76">
        <v>9.6</v>
      </c>
      <c r="F24" s="77">
        <v>72</v>
      </c>
      <c r="G24" s="92" t="s">
        <v>44</v>
      </c>
      <c r="H24" s="193"/>
      <c r="I24" s="266"/>
      <c r="J24" s="86"/>
      <c r="K24" s="121">
        <v>909.0071579094913</v>
      </c>
      <c r="L24" s="76" t="s">
        <v>348</v>
      </c>
      <c r="M24" s="81">
        <v>2900</v>
      </c>
      <c r="N24" s="81">
        <v>61</v>
      </c>
      <c r="O24" s="82">
        <f t="shared" si="0"/>
        <v>6.8096000000000004E-2</v>
      </c>
    </row>
    <row r="25" spans="2:15" s="47" customFormat="1" ht="18" customHeight="1" thickBot="1" x14ac:dyDescent="0.3">
      <c r="B25" s="96" t="s">
        <v>1340</v>
      </c>
      <c r="C25" s="76">
        <v>9.1999999999999993</v>
      </c>
      <c r="D25" s="77">
        <v>12.5</v>
      </c>
      <c r="E25" s="76">
        <v>15</v>
      </c>
      <c r="F25" s="77">
        <v>85</v>
      </c>
      <c r="G25" s="92" t="s">
        <v>353</v>
      </c>
      <c r="H25" s="193"/>
      <c r="I25" s="266"/>
      <c r="J25" s="86"/>
      <c r="K25" s="121">
        <v>1191.7470386447137</v>
      </c>
      <c r="L25" s="76" t="s">
        <v>348</v>
      </c>
      <c r="M25" s="81">
        <v>2900</v>
      </c>
      <c r="N25" s="81">
        <v>89</v>
      </c>
      <c r="O25" s="82">
        <f>0.59*0.32*0.46</f>
        <v>8.6848000000000009E-2</v>
      </c>
    </row>
    <row r="26" spans="2:15" s="47" customFormat="1" ht="18" customHeight="1" thickBot="1" x14ac:dyDescent="0.3">
      <c r="B26" s="96" t="s">
        <v>1341</v>
      </c>
      <c r="C26" s="76">
        <v>11</v>
      </c>
      <c r="D26" s="77">
        <v>15</v>
      </c>
      <c r="E26" s="76">
        <v>15</v>
      </c>
      <c r="F26" s="77">
        <v>93</v>
      </c>
      <c r="G26" s="92" t="s">
        <v>353</v>
      </c>
      <c r="H26" s="193"/>
      <c r="I26" s="266"/>
      <c r="J26" s="86"/>
      <c r="K26" s="121">
        <v>1242.247436306352</v>
      </c>
      <c r="L26" s="76" t="s">
        <v>348</v>
      </c>
      <c r="M26" s="81">
        <v>2900</v>
      </c>
      <c r="N26" s="81">
        <v>91</v>
      </c>
      <c r="O26" s="82">
        <f>0.59*0.32*0.46</f>
        <v>8.6848000000000009E-2</v>
      </c>
    </row>
    <row r="27" spans="2:15" s="47" customFormat="1" ht="18" customHeight="1" thickBot="1" x14ac:dyDescent="0.3">
      <c r="B27" s="96" t="s">
        <v>1342</v>
      </c>
      <c r="C27" s="76">
        <v>9.1999999999999993</v>
      </c>
      <c r="D27" s="77">
        <v>12.5</v>
      </c>
      <c r="E27" s="76">
        <v>15</v>
      </c>
      <c r="F27" s="77">
        <v>85</v>
      </c>
      <c r="G27" s="92" t="s">
        <v>44</v>
      </c>
      <c r="H27" s="193"/>
      <c r="I27" s="266"/>
      <c r="J27" s="86"/>
      <c r="K27" s="121">
        <v>1191.7470386447137</v>
      </c>
      <c r="L27" s="76" t="s">
        <v>348</v>
      </c>
      <c r="M27" s="81">
        <v>2900</v>
      </c>
      <c r="N27" s="81">
        <v>89</v>
      </c>
      <c r="O27" s="82">
        <f>0.59*0.32*0.46</f>
        <v>8.6848000000000009E-2</v>
      </c>
    </row>
    <row r="28" spans="2:15" s="47" customFormat="1" ht="18" customHeight="1" thickBot="1" x14ac:dyDescent="0.3">
      <c r="B28" s="96" t="s">
        <v>1343</v>
      </c>
      <c r="C28" s="76">
        <v>11</v>
      </c>
      <c r="D28" s="77">
        <v>15</v>
      </c>
      <c r="E28" s="76">
        <v>15</v>
      </c>
      <c r="F28" s="77">
        <v>93</v>
      </c>
      <c r="G28" s="92" t="s">
        <v>44</v>
      </c>
      <c r="H28" s="193"/>
      <c r="I28" s="266"/>
      <c r="J28" s="86"/>
      <c r="K28" s="121">
        <v>1242.247436306352</v>
      </c>
      <c r="L28" s="76" t="s">
        <v>348</v>
      </c>
      <c r="M28" s="81">
        <v>2900</v>
      </c>
      <c r="N28" s="81">
        <v>91</v>
      </c>
      <c r="O28" s="82">
        <f>0.59*0.32*0.46</f>
        <v>8.6848000000000009E-2</v>
      </c>
    </row>
    <row r="29" spans="2:15" s="47" customFormat="1" ht="18" customHeight="1" thickBot="1" x14ac:dyDescent="0.3">
      <c r="B29" s="96" t="s">
        <v>1344</v>
      </c>
      <c r="C29" s="76">
        <v>13</v>
      </c>
      <c r="D29" s="77">
        <v>17.5</v>
      </c>
      <c r="E29" s="76">
        <v>18</v>
      </c>
      <c r="F29" s="77">
        <v>103</v>
      </c>
      <c r="G29" s="92" t="s">
        <v>353</v>
      </c>
      <c r="H29" s="193"/>
      <c r="I29" s="266"/>
      <c r="J29" s="86"/>
      <c r="K29" s="121">
        <v>1780.2948829976353</v>
      </c>
      <c r="L29" s="76" t="s">
        <v>348</v>
      </c>
      <c r="M29" s="81">
        <v>2900</v>
      </c>
      <c r="N29" s="81">
        <v>110</v>
      </c>
      <c r="O29" s="82">
        <f t="shared" ref="O29:O36" si="1">0.76*0.34*0.5</f>
        <v>0.12920000000000001</v>
      </c>
    </row>
    <row r="30" spans="2:15" s="47" customFormat="1" ht="18" customHeight="1" thickBot="1" x14ac:dyDescent="0.3">
      <c r="B30" s="96" t="s">
        <v>1345</v>
      </c>
      <c r="C30" s="76">
        <v>15</v>
      </c>
      <c r="D30" s="77">
        <v>20</v>
      </c>
      <c r="E30" s="76">
        <v>18</v>
      </c>
      <c r="F30" s="77">
        <v>113</v>
      </c>
      <c r="G30" s="92" t="s">
        <v>353</v>
      </c>
      <c r="H30" s="193"/>
      <c r="I30" s="266"/>
      <c r="J30" s="86"/>
      <c r="K30" s="121">
        <v>1837.9650902038275</v>
      </c>
      <c r="L30" s="76" t="s">
        <v>348</v>
      </c>
      <c r="M30" s="81">
        <v>2900</v>
      </c>
      <c r="N30" s="81">
        <v>120</v>
      </c>
      <c r="O30" s="82">
        <f t="shared" si="1"/>
        <v>0.12920000000000001</v>
      </c>
    </row>
    <row r="31" spans="2:15" s="47" customFormat="1" ht="18" customHeight="1" thickBot="1" x14ac:dyDescent="0.3">
      <c r="B31" s="96" t="s">
        <v>1346</v>
      </c>
      <c r="C31" s="76">
        <v>18.5</v>
      </c>
      <c r="D31" s="77">
        <v>25</v>
      </c>
      <c r="E31" s="76">
        <v>18</v>
      </c>
      <c r="F31" s="77">
        <v>126</v>
      </c>
      <c r="G31" s="92" t="s">
        <v>353</v>
      </c>
      <c r="H31" s="193"/>
      <c r="I31" s="266"/>
      <c r="J31" s="86"/>
      <c r="K31" s="121">
        <v>2090.4670785120197</v>
      </c>
      <c r="L31" s="76" t="s">
        <v>348</v>
      </c>
      <c r="M31" s="81">
        <v>2900</v>
      </c>
      <c r="N31" s="81">
        <v>130</v>
      </c>
      <c r="O31" s="82">
        <f t="shared" si="1"/>
        <v>0.12920000000000001</v>
      </c>
    </row>
    <row r="32" spans="2:15" s="47" customFormat="1" ht="18" customHeight="1" thickBot="1" x14ac:dyDescent="0.3">
      <c r="B32" s="96" t="s">
        <v>1347</v>
      </c>
      <c r="C32" s="76">
        <v>22</v>
      </c>
      <c r="D32" s="77">
        <v>30</v>
      </c>
      <c r="E32" s="76">
        <v>18</v>
      </c>
      <c r="F32" s="77">
        <v>141</v>
      </c>
      <c r="G32" s="92" t="s">
        <v>353</v>
      </c>
      <c r="H32" s="193"/>
      <c r="I32" s="266"/>
      <c r="J32" s="86"/>
      <c r="K32" s="121">
        <v>2299.9502095528896</v>
      </c>
      <c r="L32" s="76" t="s">
        <v>348</v>
      </c>
      <c r="M32" s="81">
        <v>2900</v>
      </c>
      <c r="N32" s="81">
        <v>140</v>
      </c>
      <c r="O32" s="82">
        <f t="shared" si="1"/>
        <v>0.12920000000000001</v>
      </c>
    </row>
    <row r="33" spans="2:16" s="47" customFormat="1" ht="18" customHeight="1" thickBot="1" x14ac:dyDescent="0.3">
      <c r="B33" s="96" t="s">
        <v>1348</v>
      </c>
      <c r="C33" s="76">
        <v>13</v>
      </c>
      <c r="D33" s="77">
        <v>17.5</v>
      </c>
      <c r="E33" s="76">
        <v>18</v>
      </c>
      <c r="F33" s="77">
        <v>103</v>
      </c>
      <c r="G33" s="92" t="s">
        <v>44</v>
      </c>
      <c r="H33" s="193"/>
      <c r="I33" s="266"/>
      <c r="J33" s="86"/>
      <c r="K33" s="121">
        <v>1780.2948829976353</v>
      </c>
      <c r="L33" s="76" t="s">
        <v>348</v>
      </c>
      <c r="M33" s="81">
        <v>2900</v>
      </c>
      <c r="N33" s="81">
        <v>110</v>
      </c>
      <c r="O33" s="82">
        <f t="shared" si="1"/>
        <v>0.12920000000000001</v>
      </c>
    </row>
    <row r="34" spans="2:16" s="47" customFormat="1" ht="18" customHeight="1" thickBot="1" x14ac:dyDescent="0.3">
      <c r="B34" s="96" t="s">
        <v>1349</v>
      </c>
      <c r="C34" s="76">
        <v>15</v>
      </c>
      <c r="D34" s="77">
        <v>20</v>
      </c>
      <c r="E34" s="76">
        <v>18</v>
      </c>
      <c r="F34" s="77">
        <v>113</v>
      </c>
      <c r="G34" s="92" t="s">
        <v>44</v>
      </c>
      <c r="H34" s="193"/>
      <c r="I34" s="266"/>
      <c r="J34" s="86"/>
      <c r="K34" s="121">
        <v>1837.9650902038275</v>
      </c>
      <c r="L34" s="76" t="s">
        <v>348</v>
      </c>
      <c r="M34" s="81">
        <v>2900</v>
      </c>
      <c r="N34" s="81">
        <v>120</v>
      </c>
      <c r="O34" s="82">
        <f t="shared" si="1"/>
        <v>0.12920000000000001</v>
      </c>
    </row>
    <row r="35" spans="2:16" s="47" customFormat="1" ht="18" customHeight="1" thickBot="1" x14ac:dyDescent="0.3">
      <c r="B35" s="96" t="s">
        <v>1350</v>
      </c>
      <c r="C35" s="76">
        <v>18.5</v>
      </c>
      <c r="D35" s="77">
        <v>25</v>
      </c>
      <c r="E35" s="76">
        <v>18</v>
      </c>
      <c r="F35" s="77">
        <v>126</v>
      </c>
      <c r="G35" s="92" t="s">
        <v>44</v>
      </c>
      <c r="H35" s="193"/>
      <c r="I35" s="266"/>
      <c r="J35" s="86"/>
      <c r="K35" s="121">
        <v>2090.4670785120197</v>
      </c>
      <c r="L35" s="76" t="s">
        <v>348</v>
      </c>
      <c r="M35" s="81">
        <v>2900</v>
      </c>
      <c r="N35" s="81">
        <v>130</v>
      </c>
      <c r="O35" s="82">
        <f t="shared" si="1"/>
        <v>0.12920000000000001</v>
      </c>
      <c r="P35" s="1"/>
    </row>
    <row r="36" spans="2:16" s="47" customFormat="1" ht="18" customHeight="1" thickBot="1" x14ac:dyDescent="0.3">
      <c r="B36" s="96" t="s">
        <v>1351</v>
      </c>
      <c r="C36" s="76">
        <v>22</v>
      </c>
      <c r="D36" s="77">
        <v>30</v>
      </c>
      <c r="E36" s="76">
        <v>18</v>
      </c>
      <c r="F36" s="77">
        <v>141</v>
      </c>
      <c r="G36" s="92" t="s">
        <v>44</v>
      </c>
      <c r="H36" s="193"/>
      <c r="I36" s="266"/>
      <c r="J36" s="86"/>
      <c r="K36" s="121">
        <v>2299.9502095528896</v>
      </c>
      <c r="L36" s="76" t="s">
        <v>348</v>
      </c>
      <c r="M36" s="81">
        <v>2900</v>
      </c>
      <c r="N36" s="81">
        <v>140</v>
      </c>
      <c r="O36" s="82">
        <f t="shared" si="1"/>
        <v>0.12920000000000001</v>
      </c>
      <c r="P36" s="1"/>
    </row>
    <row r="37" spans="2:16" ht="9" customHeight="1" thickBot="1" x14ac:dyDescent="0.3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2:16" s="217" customFormat="1" ht="15" customHeight="1" x14ac:dyDescent="0.25">
      <c r="B38" s="180" t="s">
        <v>32</v>
      </c>
      <c r="C38" s="45" t="s">
        <v>33</v>
      </c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/>
    </row>
    <row r="39" spans="2:16" s="217" customFormat="1" ht="15" customHeight="1" x14ac:dyDescent="0.25">
      <c r="B39" s="181" t="s">
        <v>308</v>
      </c>
      <c r="C39" s="50" t="s">
        <v>701</v>
      </c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47"/>
    </row>
    <row r="40" spans="2:16" s="217" customFormat="1" ht="15" customHeight="1" x14ac:dyDescent="0.25">
      <c r="B40" s="181" t="s">
        <v>702</v>
      </c>
      <c r="C40" s="50" t="s">
        <v>703</v>
      </c>
      <c r="D40" s="206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47"/>
    </row>
    <row r="41" spans="2:16" s="217" customFormat="1" ht="15" customHeight="1" x14ac:dyDescent="0.25">
      <c r="B41" s="204" t="s">
        <v>4</v>
      </c>
      <c r="C41" s="53" t="s">
        <v>349</v>
      </c>
      <c r="D41" s="53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47"/>
    </row>
    <row r="42" spans="2:16" s="217" customFormat="1" ht="15" customHeight="1" x14ac:dyDescent="0.25">
      <c r="B42" s="181" t="s">
        <v>704</v>
      </c>
      <c r="C42" s="208" t="s">
        <v>705</v>
      </c>
      <c r="D42" s="53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</row>
    <row r="43" spans="2:16" s="217" customFormat="1" ht="15" customHeight="1" x14ac:dyDescent="0.25">
      <c r="B43" s="205" t="s">
        <v>59</v>
      </c>
      <c r="C43" s="323" t="s">
        <v>60</v>
      </c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</row>
  </sheetData>
  <mergeCells count="10">
    <mergeCell ref="C43:O43"/>
    <mergeCell ref="B6:O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Normal="100" workbookViewId="0">
      <selection activeCell="M22" sqref="M22"/>
    </sheetView>
  </sheetViews>
  <sheetFormatPr defaultColWidth="10.28515625" defaultRowHeight="15" x14ac:dyDescent="0.25"/>
  <cols>
    <col min="1" max="1" width="34.28515625" style="123" customWidth="1"/>
    <col min="2" max="2" width="28.5703125" style="274" customWidth="1"/>
    <col min="3" max="6" width="8.5703125" style="274" customWidth="1"/>
    <col min="7" max="7" width="10.85546875" style="274" customWidth="1"/>
    <col min="8" max="8" width="14.28515625" style="274" customWidth="1"/>
    <col min="9" max="9" width="10.7109375" style="274" customWidth="1"/>
    <col min="10" max="13" width="10.85546875" style="274" customWidth="1"/>
    <col min="14" max="247" width="10.28515625" style="273"/>
    <col min="248" max="248" width="36.7109375" style="273" customWidth="1"/>
    <col min="249" max="249" width="28.28515625" style="273" customWidth="1"/>
    <col min="250" max="253" width="6.85546875" style="273" customWidth="1"/>
    <col min="254" max="254" width="10.85546875" style="273" customWidth="1"/>
    <col min="255" max="255" width="11.140625" style="273" customWidth="1"/>
    <col min="256" max="256" width="15" style="273" customWidth="1"/>
    <col min="257" max="257" width="10.7109375" style="273" customWidth="1"/>
    <col min="258" max="258" width="10.28515625" style="273" customWidth="1"/>
    <col min="259" max="259" width="5.7109375" style="273" customWidth="1"/>
    <col min="260" max="260" width="7.28515625" style="273" customWidth="1"/>
    <col min="261" max="261" width="10.28515625" style="273"/>
    <col min="262" max="262" width="10.42578125" style="273" bestFit="1" customWidth="1"/>
    <col min="263" max="503" width="10.28515625" style="273"/>
    <col min="504" max="504" width="36.7109375" style="273" customWidth="1"/>
    <col min="505" max="505" width="28.28515625" style="273" customWidth="1"/>
    <col min="506" max="509" width="6.85546875" style="273" customWidth="1"/>
    <col min="510" max="510" width="10.85546875" style="273" customWidth="1"/>
    <col min="511" max="511" width="11.140625" style="273" customWidth="1"/>
    <col min="512" max="512" width="15" style="273" customWidth="1"/>
    <col min="513" max="513" width="10.7109375" style="273" customWidth="1"/>
    <col min="514" max="514" width="10.28515625" style="273" customWidth="1"/>
    <col min="515" max="515" width="5.7109375" style="273" customWidth="1"/>
    <col min="516" max="516" width="7.28515625" style="273" customWidth="1"/>
    <col min="517" max="517" width="10.28515625" style="273"/>
    <col min="518" max="518" width="10.42578125" style="273" bestFit="1" customWidth="1"/>
    <col min="519" max="759" width="10.28515625" style="273"/>
    <col min="760" max="760" width="36.7109375" style="273" customWidth="1"/>
    <col min="761" max="761" width="28.28515625" style="273" customWidth="1"/>
    <col min="762" max="765" width="6.85546875" style="273" customWidth="1"/>
    <col min="766" max="766" width="10.85546875" style="273" customWidth="1"/>
    <col min="767" max="767" width="11.140625" style="273" customWidth="1"/>
    <col min="768" max="768" width="15" style="273" customWidth="1"/>
    <col min="769" max="769" width="10.7109375" style="273" customWidth="1"/>
    <col min="770" max="770" width="10.28515625" style="273" customWidth="1"/>
    <col min="771" max="771" width="5.7109375" style="273" customWidth="1"/>
    <col min="772" max="772" width="7.28515625" style="273" customWidth="1"/>
    <col min="773" max="773" width="10.28515625" style="273"/>
    <col min="774" max="774" width="10.42578125" style="273" bestFit="1" customWidth="1"/>
    <col min="775" max="1015" width="10.28515625" style="273"/>
    <col min="1016" max="1016" width="36.7109375" style="273" customWidth="1"/>
    <col min="1017" max="1017" width="28.28515625" style="273" customWidth="1"/>
    <col min="1018" max="1021" width="6.85546875" style="273" customWidth="1"/>
    <col min="1022" max="1022" width="10.85546875" style="273" customWidth="1"/>
    <col min="1023" max="1023" width="11.140625" style="273" customWidth="1"/>
    <col min="1024" max="1024" width="15" style="273" customWidth="1"/>
    <col min="1025" max="1025" width="10.7109375" style="273" customWidth="1"/>
    <col min="1026" max="1026" width="10.28515625" style="273" customWidth="1"/>
    <col min="1027" max="1027" width="5.7109375" style="273" customWidth="1"/>
    <col min="1028" max="1028" width="7.28515625" style="273" customWidth="1"/>
    <col min="1029" max="1029" width="10.28515625" style="273"/>
    <col min="1030" max="1030" width="10.42578125" style="273" bestFit="1" customWidth="1"/>
    <col min="1031" max="1271" width="10.28515625" style="273"/>
    <col min="1272" max="1272" width="36.7109375" style="273" customWidth="1"/>
    <col min="1273" max="1273" width="28.28515625" style="273" customWidth="1"/>
    <col min="1274" max="1277" width="6.85546875" style="273" customWidth="1"/>
    <col min="1278" max="1278" width="10.85546875" style="273" customWidth="1"/>
    <col min="1279" max="1279" width="11.140625" style="273" customWidth="1"/>
    <col min="1280" max="1280" width="15" style="273" customWidth="1"/>
    <col min="1281" max="1281" width="10.7109375" style="273" customWidth="1"/>
    <col min="1282" max="1282" width="10.28515625" style="273" customWidth="1"/>
    <col min="1283" max="1283" width="5.7109375" style="273" customWidth="1"/>
    <col min="1284" max="1284" width="7.28515625" style="273" customWidth="1"/>
    <col min="1285" max="1285" width="10.28515625" style="273"/>
    <col min="1286" max="1286" width="10.42578125" style="273" bestFit="1" customWidth="1"/>
    <col min="1287" max="1527" width="10.28515625" style="273"/>
    <col min="1528" max="1528" width="36.7109375" style="273" customWidth="1"/>
    <col min="1529" max="1529" width="28.28515625" style="273" customWidth="1"/>
    <col min="1530" max="1533" width="6.85546875" style="273" customWidth="1"/>
    <col min="1534" max="1534" width="10.85546875" style="273" customWidth="1"/>
    <col min="1535" max="1535" width="11.140625" style="273" customWidth="1"/>
    <col min="1536" max="1536" width="15" style="273" customWidth="1"/>
    <col min="1537" max="1537" width="10.7109375" style="273" customWidth="1"/>
    <col min="1538" max="1538" width="10.28515625" style="273" customWidth="1"/>
    <col min="1539" max="1539" width="5.7109375" style="273" customWidth="1"/>
    <col min="1540" max="1540" width="7.28515625" style="273" customWidth="1"/>
    <col min="1541" max="1541" width="10.28515625" style="273"/>
    <col min="1542" max="1542" width="10.42578125" style="273" bestFit="1" customWidth="1"/>
    <col min="1543" max="1783" width="10.28515625" style="273"/>
    <col min="1784" max="1784" width="36.7109375" style="273" customWidth="1"/>
    <col min="1785" max="1785" width="28.28515625" style="273" customWidth="1"/>
    <col min="1786" max="1789" width="6.85546875" style="273" customWidth="1"/>
    <col min="1790" max="1790" width="10.85546875" style="273" customWidth="1"/>
    <col min="1791" max="1791" width="11.140625" style="273" customWidth="1"/>
    <col min="1792" max="1792" width="15" style="273" customWidth="1"/>
    <col min="1793" max="1793" width="10.7109375" style="273" customWidth="1"/>
    <col min="1794" max="1794" width="10.28515625" style="273" customWidth="1"/>
    <col min="1795" max="1795" width="5.7109375" style="273" customWidth="1"/>
    <col min="1796" max="1796" width="7.28515625" style="273" customWidth="1"/>
    <col min="1797" max="1797" width="10.28515625" style="273"/>
    <col min="1798" max="1798" width="10.42578125" style="273" bestFit="1" customWidth="1"/>
    <col min="1799" max="2039" width="10.28515625" style="273"/>
    <col min="2040" max="2040" width="36.7109375" style="273" customWidth="1"/>
    <col min="2041" max="2041" width="28.28515625" style="273" customWidth="1"/>
    <col min="2042" max="2045" width="6.85546875" style="273" customWidth="1"/>
    <col min="2046" max="2046" width="10.85546875" style="273" customWidth="1"/>
    <col min="2047" max="2047" width="11.140625" style="273" customWidth="1"/>
    <col min="2048" max="2048" width="15" style="273" customWidth="1"/>
    <col min="2049" max="2049" width="10.7109375" style="273" customWidth="1"/>
    <col min="2050" max="2050" width="10.28515625" style="273" customWidth="1"/>
    <col min="2051" max="2051" width="5.7109375" style="273" customWidth="1"/>
    <col min="2052" max="2052" width="7.28515625" style="273" customWidth="1"/>
    <col min="2053" max="2053" width="10.28515625" style="273"/>
    <col min="2054" max="2054" width="10.42578125" style="273" bestFit="1" customWidth="1"/>
    <col min="2055" max="2295" width="10.28515625" style="273"/>
    <col min="2296" max="2296" width="36.7109375" style="273" customWidth="1"/>
    <col min="2297" max="2297" width="28.28515625" style="273" customWidth="1"/>
    <col min="2298" max="2301" width="6.85546875" style="273" customWidth="1"/>
    <col min="2302" max="2302" width="10.85546875" style="273" customWidth="1"/>
    <col min="2303" max="2303" width="11.140625" style="273" customWidth="1"/>
    <col min="2304" max="2304" width="15" style="273" customWidth="1"/>
    <col min="2305" max="2305" width="10.7109375" style="273" customWidth="1"/>
    <col min="2306" max="2306" width="10.28515625" style="273" customWidth="1"/>
    <col min="2307" max="2307" width="5.7109375" style="273" customWidth="1"/>
    <col min="2308" max="2308" width="7.28515625" style="273" customWidth="1"/>
    <col min="2309" max="2309" width="10.28515625" style="273"/>
    <col min="2310" max="2310" width="10.42578125" style="273" bestFit="1" customWidth="1"/>
    <col min="2311" max="2551" width="10.28515625" style="273"/>
    <col min="2552" max="2552" width="36.7109375" style="273" customWidth="1"/>
    <col min="2553" max="2553" width="28.28515625" style="273" customWidth="1"/>
    <col min="2554" max="2557" width="6.85546875" style="273" customWidth="1"/>
    <col min="2558" max="2558" width="10.85546875" style="273" customWidth="1"/>
    <col min="2559" max="2559" width="11.140625" style="273" customWidth="1"/>
    <col min="2560" max="2560" width="15" style="273" customWidth="1"/>
    <col min="2561" max="2561" width="10.7109375" style="273" customWidth="1"/>
    <col min="2562" max="2562" width="10.28515625" style="273" customWidth="1"/>
    <col min="2563" max="2563" width="5.7109375" style="273" customWidth="1"/>
    <col min="2564" max="2564" width="7.28515625" style="273" customWidth="1"/>
    <col min="2565" max="2565" width="10.28515625" style="273"/>
    <col min="2566" max="2566" width="10.42578125" style="273" bestFit="1" customWidth="1"/>
    <col min="2567" max="2807" width="10.28515625" style="273"/>
    <col min="2808" max="2808" width="36.7109375" style="273" customWidth="1"/>
    <col min="2809" max="2809" width="28.28515625" style="273" customWidth="1"/>
    <col min="2810" max="2813" width="6.85546875" style="273" customWidth="1"/>
    <col min="2814" max="2814" width="10.85546875" style="273" customWidth="1"/>
    <col min="2815" max="2815" width="11.140625" style="273" customWidth="1"/>
    <col min="2816" max="2816" width="15" style="273" customWidth="1"/>
    <col min="2817" max="2817" width="10.7109375" style="273" customWidth="1"/>
    <col min="2818" max="2818" width="10.28515625" style="273" customWidth="1"/>
    <col min="2819" max="2819" width="5.7109375" style="273" customWidth="1"/>
    <col min="2820" max="2820" width="7.28515625" style="273" customWidth="1"/>
    <col min="2821" max="2821" width="10.28515625" style="273"/>
    <col min="2822" max="2822" width="10.42578125" style="273" bestFit="1" customWidth="1"/>
    <col min="2823" max="3063" width="10.28515625" style="273"/>
    <col min="3064" max="3064" width="36.7109375" style="273" customWidth="1"/>
    <col min="3065" max="3065" width="28.28515625" style="273" customWidth="1"/>
    <col min="3066" max="3069" width="6.85546875" style="273" customWidth="1"/>
    <col min="3070" max="3070" width="10.85546875" style="273" customWidth="1"/>
    <col min="3071" max="3071" width="11.140625" style="273" customWidth="1"/>
    <col min="3072" max="3072" width="15" style="273" customWidth="1"/>
    <col min="3073" max="3073" width="10.7109375" style="273" customWidth="1"/>
    <col min="3074" max="3074" width="10.28515625" style="273" customWidth="1"/>
    <col min="3075" max="3075" width="5.7109375" style="273" customWidth="1"/>
    <col min="3076" max="3076" width="7.28515625" style="273" customWidth="1"/>
    <col min="3077" max="3077" width="10.28515625" style="273"/>
    <col min="3078" max="3078" width="10.42578125" style="273" bestFit="1" customWidth="1"/>
    <col min="3079" max="3319" width="10.28515625" style="273"/>
    <col min="3320" max="3320" width="36.7109375" style="273" customWidth="1"/>
    <col min="3321" max="3321" width="28.28515625" style="273" customWidth="1"/>
    <col min="3322" max="3325" width="6.85546875" style="273" customWidth="1"/>
    <col min="3326" max="3326" width="10.85546875" style="273" customWidth="1"/>
    <col min="3327" max="3327" width="11.140625" style="273" customWidth="1"/>
    <col min="3328" max="3328" width="15" style="273" customWidth="1"/>
    <col min="3329" max="3329" width="10.7109375" style="273" customWidth="1"/>
    <col min="3330" max="3330" width="10.28515625" style="273" customWidth="1"/>
    <col min="3331" max="3331" width="5.7109375" style="273" customWidth="1"/>
    <col min="3332" max="3332" width="7.28515625" style="273" customWidth="1"/>
    <col min="3333" max="3333" width="10.28515625" style="273"/>
    <col min="3334" max="3334" width="10.42578125" style="273" bestFit="1" customWidth="1"/>
    <col min="3335" max="3575" width="10.28515625" style="273"/>
    <col min="3576" max="3576" width="36.7109375" style="273" customWidth="1"/>
    <col min="3577" max="3577" width="28.28515625" style="273" customWidth="1"/>
    <col min="3578" max="3581" width="6.85546875" style="273" customWidth="1"/>
    <col min="3582" max="3582" width="10.85546875" style="273" customWidth="1"/>
    <col min="3583" max="3583" width="11.140625" style="273" customWidth="1"/>
    <col min="3584" max="3584" width="15" style="273" customWidth="1"/>
    <col min="3585" max="3585" width="10.7109375" style="273" customWidth="1"/>
    <col min="3586" max="3586" width="10.28515625" style="273" customWidth="1"/>
    <col min="3587" max="3587" width="5.7109375" style="273" customWidth="1"/>
    <col min="3588" max="3588" width="7.28515625" style="273" customWidth="1"/>
    <col min="3589" max="3589" width="10.28515625" style="273"/>
    <col min="3590" max="3590" width="10.42578125" style="273" bestFit="1" customWidth="1"/>
    <col min="3591" max="3831" width="10.28515625" style="273"/>
    <col min="3832" max="3832" width="36.7109375" style="273" customWidth="1"/>
    <col min="3833" max="3833" width="28.28515625" style="273" customWidth="1"/>
    <col min="3834" max="3837" width="6.85546875" style="273" customWidth="1"/>
    <col min="3838" max="3838" width="10.85546875" style="273" customWidth="1"/>
    <col min="3839" max="3839" width="11.140625" style="273" customWidth="1"/>
    <col min="3840" max="3840" width="15" style="273" customWidth="1"/>
    <col min="3841" max="3841" width="10.7109375" style="273" customWidth="1"/>
    <col min="3842" max="3842" width="10.28515625" style="273" customWidth="1"/>
    <col min="3843" max="3843" width="5.7109375" style="273" customWidth="1"/>
    <col min="3844" max="3844" width="7.28515625" style="273" customWidth="1"/>
    <col min="3845" max="3845" width="10.28515625" style="273"/>
    <col min="3846" max="3846" width="10.42578125" style="273" bestFit="1" customWidth="1"/>
    <col min="3847" max="4087" width="10.28515625" style="273"/>
    <col min="4088" max="4088" width="36.7109375" style="273" customWidth="1"/>
    <col min="4089" max="4089" width="28.28515625" style="273" customWidth="1"/>
    <col min="4090" max="4093" width="6.85546875" style="273" customWidth="1"/>
    <col min="4094" max="4094" width="10.85546875" style="273" customWidth="1"/>
    <col min="4095" max="4095" width="11.140625" style="273" customWidth="1"/>
    <col min="4096" max="4096" width="15" style="273" customWidth="1"/>
    <col min="4097" max="4097" width="10.7109375" style="273" customWidth="1"/>
    <col min="4098" max="4098" width="10.28515625" style="273" customWidth="1"/>
    <col min="4099" max="4099" width="5.7109375" style="273" customWidth="1"/>
    <col min="4100" max="4100" width="7.28515625" style="273" customWidth="1"/>
    <col min="4101" max="4101" width="10.28515625" style="273"/>
    <col min="4102" max="4102" width="10.42578125" style="273" bestFit="1" customWidth="1"/>
    <col min="4103" max="4343" width="10.28515625" style="273"/>
    <col min="4344" max="4344" width="36.7109375" style="273" customWidth="1"/>
    <col min="4345" max="4345" width="28.28515625" style="273" customWidth="1"/>
    <col min="4346" max="4349" width="6.85546875" style="273" customWidth="1"/>
    <col min="4350" max="4350" width="10.85546875" style="273" customWidth="1"/>
    <col min="4351" max="4351" width="11.140625" style="273" customWidth="1"/>
    <col min="4352" max="4352" width="15" style="273" customWidth="1"/>
    <col min="4353" max="4353" width="10.7109375" style="273" customWidth="1"/>
    <col min="4354" max="4354" width="10.28515625" style="273" customWidth="1"/>
    <col min="4355" max="4355" width="5.7109375" style="273" customWidth="1"/>
    <col min="4356" max="4356" width="7.28515625" style="273" customWidth="1"/>
    <col min="4357" max="4357" width="10.28515625" style="273"/>
    <col min="4358" max="4358" width="10.42578125" style="273" bestFit="1" customWidth="1"/>
    <col min="4359" max="4599" width="10.28515625" style="273"/>
    <col min="4600" max="4600" width="36.7109375" style="273" customWidth="1"/>
    <col min="4601" max="4601" width="28.28515625" style="273" customWidth="1"/>
    <col min="4602" max="4605" width="6.85546875" style="273" customWidth="1"/>
    <col min="4606" max="4606" width="10.85546875" style="273" customWidth="1"/>
    <col min="4607" max="4607" width="11.140625" style="273" customWidth="1"/>
    <col min="4608" max="4608" width="15" style="273" customWidth="1"/>
    <col min="4609" max="4609" width="10.7109375" style="273" customWidth="1"/>
    <col min="4610" max="4610" width="10.28515625" style="273" customWidth="1"/>
    <col min="4611" max="4611" width="5.7109375" style="273" customWidth="1"/>
    <col min="4612" max="4612" width="7.28515625" style="273" customWidth="1"/>
    <col min="4613" max="4613" width="10.28515625" style="273"/>
    <col min="4614" max="4614" width="10.42578125" style="273" bestFit="1" customWidth="1"/>
    <col min="4615" max="4855" width="10.28515625" style="273"/>
    <col min="4856" max="4856" width="36.7109375" style="273" customWidth="1"/>
    <col min="4857" max="4857" width="28.28515625" style="273" customWidth="1"/>
    <col min="4858" max="4861" width="6.85546875" style="273" customWidth="1"/>
    <col min="4862" max="4862" width="10.85546875" style="273" customWidth="1"/>
    <col min="4863" max="4863" width="11.140625" style="273" customWidth="1"/>
    <col min="4864" max="4864" width="15" style="273" customWidth="1"/>
    <col min="4865" max="4865" width="10.7109375" style="273" customWidth="1"/>
    <col min="4866" max="4866" width="10.28515625" style="273" customWidth="1"/>
    <col min="4867" max="4867" width="5.7109375" style="273" customWidth="1"/>
    <col min="4868" max="4868" width="7.28515625" style="273" customWidth="1"/>
    <col min="4869" max="4869" width="10.28515625" style="273"/>
    <col min="4870" max="4870" width="10.42578125" style="273" bestFit="1" customWidth="1"/>
    <col min="4871" max="5111" width="10.28515625" style="273"/>
    <col min="5112" max="5112" width="36.7109375" style="273" customWidth="1"/>
    <col min="5113" max="5113" width="28.28515625" style="273" customWidth="1"/>
    <col min="5114" max="5117" width="6.85546875" style="273" customWidth="1"/>
    <col min="5118" max="5118" width="10.85546875" style="273" customWidth="1"/>
    <col min="5119" max="5119" width="11.140625" style="273" customWidth="1"/>
    <col min="5120" max="5120" width="15" style="273" customWidth="1"/>
    <col min="5121" max="5121" width="10.7109375" style="273" customWidth="1"/>
    <col min="5122" max="5122" width="10.28515625" style="273" customWidth="1"/>
    <col min="5123" max="5123" width="5.7109375" style="273" customWidth="1"/>
    <col min="5124" max="5124" width="7.28515625" style="273" customWidth="1"/>
    <col min="5125" max="5125" width="10.28515625" style="273"/>
    <col min="5126" max="5126" width="10.42578125" style="273" bestFit="1" customWidth="1"/>
    <col min="5127" max="5367" width="10.28515625" style="273"/>
    <col min="5368" max="5368" width="36.7109375" style="273" customWidth="1"/>
    <col min="5369" max="5369" width="28.28515625" style="273" customWidth="1"/>
    <col min="5370" max="5373" width="6.85546875" style="273" customWidth="1"/>
    <col min="5374" max="5374" width="10.85546875" style="273" customWidth="1"/>
    <col min="5375" max="5375" width="11.140625" style="273" customWidth="1"/>
    <col min="5376" max="5376" width="15" style="273" customWidth="1"/>
    <col min="5377" max="5377" width="10.7109375" style="273" customWidth="1"/>
    <col min="5378" max="5378" width="10.28515625" style="273" customWidth="1"/>
    <col min="5379" max="5379" width="5.7109375" style="273" customWidth="1"/>
    <col min="5380" max="5380" width="7.28515625" style="273" customWidth="1"/>
    <col min="5381" max="5381" width="10.28515625" style="273"/>
    <col min="5382" max="5382" width="10.42578125" style="273" bestFit="1" customWidth="1"/>
    <col min="5383" max="5623" width="10.28515625" style="273"/>
    <col min="5624" max="5624" width="36.7109375" style="273" customWidth="1"/>
    <col min="5625" max="5625" width="28.28515625" style="273" customWidth="1"/>
    <col min="5626" max="5629" width="6.85546875" style="273" customWidth="1"/>
    <col min="5630" max="5630" width="10.85546875" style="273" customWidth="1"/>
    <col min="5631" max="5631" width="11.140625" style="273" customWidth="1"/>
    <col min="5632" max="5632" width="15" style="273" customWidth="1"/>
    <col min="5633" max="5633" width="10.7109375" style="273" customWidth="1"/>
    <col min="5634" max="5634" width="10.28515625" style="273" customWidth="1"/>
    <col min="5635" max="5635" width="5.7109375" style="273" customWidth="1"/>
    <col min="5636" max="5636" width="7.28515625" style="273" customWidth="1"/>
    <col min="5637" max="5637" width="10.28515625" style="273"/>
    <col min="5638" max="5638" width="10.42578125" style="273" bestFit="1" customWidth="1"/>
    <col min="5639" max="5879" width="10.28515625" style="273"/>
    <col min="5880" max="5880" width="36.7109375" style="273" customWidth="1"/>
    <col min="5881" max="5881" width="28.28515625" style="273" customWidth="1"/>
    <col min="5882" max="5885" width="6.85546875" style="273" customWidth="1"/>
    <col min="5886" max="5886" width="10.85546875" style="273" customWidth="1"/>
    <col min="5887" max="5887" width="11.140625" style="273" customWidth="1"/>
    <col min="5888" max="5888" width="15" style="273" customWidth="1"/>
    <col min="5889" max="5889" width="10.7109375" style="273" customWidth="1"/>
    <col min="5890" max="5890" width="10.28515625" style="273" customWidth="1"/>
    <col min="5891" max="5891" width="5.7109375" style="273" customWidth="1"/>
    <col min="5892" max="5892" width="7.28515625" style="273" customWidth="1"/>
    <col min="5893" max="5893" width="10.28515625" style="273"/>
    <col min="5894" max="5894" width="10.42578125" style="273" bestFit="1" customWidth="1"/>
    <col min="5895" max="6135" width="10.28515625" style="273"/>
    <col min="6136" max="6136" width="36.7109375" style="273" customWidth="1"/>
    <col min="6137" max="6137" width="28.28515625" style="273" customWidth="1"/>
    <col min="6138" max="6141" width="6.85546875" style="273" customWidth="1"/>
    <col min="6142" max="6142" width="10.85546875" style="273" customWidth="1"/>
    <col min="6143" max="6143" width="11.140625" style="273" customWidth="1"/>
    <col min="6144" max="6144" width="15" style="273" customWidth="1"/>
    <col min="6145" max="6145" width="10.7109375" style="273" customWidth="1"/>
    <col min="6146" max="6146" width="10.28515625" style="273" customWidth="1"/>
    <col min="6147" max="6147" width="5.7109375" style="273" customWidth="1"/>
    <col min="6148" max="6148" width="7.28515625" style="273" customWidth="1"/>
    <col min="6149" max="6149" width="10.28515625" style="273"/>
    <col min="6150" max="6150" width="10.42578125" style="273" bestFit="1" customWidth="1"/>
    <col min="6151" max="6391" width="10.28515625" style="273"/>
    <col min="6392" max="6392" width="36.7109375" style="273" customWidth="1"/>
    <col min="6393" max="6393" width="28.28515625" style="273" customWidth="1"/>
    <col min="6394" max="6397" width="6.85546875" style="273" customWidth="1"/>
    <col min="6398" max="6398" width="10.85546875" style="273" customWidth="1"/>
    <col min="6399" max="6399" width="11.140625" style="273" customWidth="1"/>
    <col min="6400" max="6400" width="15" style="273" customWidth="1"/>
    <col min="6401" max="6401" width="10.7109375" style="273" customWidth="1"/>
    <col min="6402" max="6402" width="10.28515625" style="273" customWidth="1"/>
    <col min="6403" max="6403" width="5.7109375" style="273" customWidth="1"/>
    <col min="6404" max="6404" width="7.28515625" style="273" customWidth="1"/>
    <col min="6405" max="6405" width="10.28515625" style="273"/>
    <col min="6406" max="6406" width="10.42578125" style="273" bestFit="1" customWidth="1"/>
    <col min="6407" max="6647" width="10.28515625" style="273"/>
    <col min="6648" max="6648" width="36.7109375" style="273" customWidth="1"/>
    <col min="6649" max="6649" width="28.28515625" style="273" customWidth="1"/>
    <col min="6650" max="6653" width="6.85546875" style="273" customWidth="1"/>
    <col min="6654" max="6654" width="10.85546875" style="273" customWidth="1"/>
    <col min="6655" max="6655" width="11.140625" style="273" customWidth="1"/>
    <col min="6656" max="6656" width="15" style="273" customWidth="1"/>
    <col min="6657" max="6657" width="10.7109375" style="273" customWidth="1"/>
    <col min="6658" max="6658" width="10.28515625" style="273" customWidth="1"/>
    <col min="6659" max="6659" width="5.7109375" style="273" customWidth="1"/>
    <col min="6660" max="6660" width="7.28515625" style="273" customWidth="1"/>
    <col min="6661" max="6661" width="10.28515625" style="273"/>
    <col min="6662" max="6662" width="10.42578125" style="273" bestFit="1" customWidth="1"/>
    <col min="6663" max="6903" width="10.28515625" style="273"/>
    <col min="6904" max="6904" width="36.7109375" style="273" customWidth="1"/>
    <col min="6905" max="6905" width="28.28515625" style="273" customWidth="1"/>
    <col min="6906" max="6909" width="6.85546875" style="273" customWidth="1"/>
    <col min="6910" max="6910" width="10.85546875" style="273" customWidth="1"/>
    <col min="6911" max="6911" width="11.140625" style="273" customWidth="1"/>
    <col min="6912" max="6912" width="15" style="273" customWidth="1"/>
    <col min="6913" max="6913" width="10.7109375" style="273" customWidth="1"/>
    <col min="6914" max="6914" width="10.28515625" style="273" customWidth="1"/>
    <col min="6915" max="6915" width="5.7109375" style="273" customWidth="1"/>
    <col min="6916" max="6916" width="7.28515625" style="273" customWidth="1"/>
    <col min="6917" max="6917" width="10.28515625" style="273"/>
    <col min="6918" max="6918" width="10.42578125" style="273" bestFit="1" customWidth="1"/>
    <col min="6919" max="7159" width="10.28515625" style="273"/>
    <col min="7160" max="7160" width="36.7109375" style="273" customWidth="1"/>
    <col min="7161" max="7161" width="28.28515625" style="273" customWidth="1"/>
    <col min="7162" max="7165" width="6.85546875" style="273" customWidth="1"/>
    <col min="7166" max="7166" width="10.85546875" style="273" customWidth="1"/>
    <col min="7167" max="7167" width="11.140625" style="273" customWidth="1"/>
    <col min="7168" max="7168" width="15" style="273" customWidth="1"/>
    <col min="7169" max="7169" width="10.7109375" style="273" customWidth="1"/>
    <col min="7170" max="7170" width="10.28515625" style="273" customWidth="1"/>
    <col min="7171" max="7171" width="5.7109375" style="273" customWidth="1"/>
    <col min="7172" max="7172" width="7.28515625" style="273" customWidth="1"/>
    <col min="7173" max="7173" width="10.28515625" style="273"/>
    <col min="7174" max="7174" width="10.42578125" style="273" bestFit="1" customWidth="1"/>
    <col min="7175" max="7415" width="10.28515625" style="273"/>
    <col min="7416" max="7416" width="36.7109375" style="273" customWidth="1"/>
    <col min="7417" max="7417" width="28.28515625" style="273" customWidth="1"/>
    <col min="7418" max="7421" width="6.85546875" style="273" customWidth="1"/>
    <col min="7422" max="7422" width="10.85546875" style="273" customWidth="1"/>
    <col min="7423" max="7423" width="11.140625" style="273" customWidth="1"/>
    <col min="7424" max="7424" width="15" style="273" customWidth="1"/>
    <col min="7425" max="7425" width="10.7109375" style="273" customWidth="1"/>
    <col min="7426" max="7426" width="10.28515625" style="273" customWidth="1"/>
    <col min="7427" max="7427" width="5.7109375" style="273" customWidth="1"/>
    <col min="7428" max="7428" width="7.28515625" style="273" customWidth="1"/>
    <col min="7429" max="7429" width="10.28515625" style="273"/>
    <col min="7430" max="7430" width="10.42578125" style="273" bestFit="1" customWidth="1"/>
    <col min="7431" max="7671" width="10.28515625" style="273"/>
    <col min="7672" max="7672" width="36.7109375" style="273" customWidth="1"/>
    <col min="7673" max="7673" width="28.28515625" style="273" customWidth="1"/>
    <col min="7674" max="7677" width="6.85546875" style="273" customWidth="1"/>
    <col min="7678" max="7678" width="10.85546875" style="273" customWidth="1"/>
    <col min="7679" max="7679" width="11.140625" style="273" customWidth="1"/>
    <col min="7680" max="7680" width="15" style="273" customWidth="1"/>
    <col min="7681" max="7681" width="10.7109375" style="273" customWidth="1"/>
    <col min="7682" max="7682" width="10.28515625" style="273" customWidth="1"/>
    <col min="7683" max="7683" width="5.7109375" style="273" customWidth="1"/>
    <col min="7684" max="7684" width="7.28515625" style="273" customWidth="1"/>
    <col min="7685" max="7685" width="10.28515625" style="273"/>
    <col min="7686" max="7686" width="10.42578125" style="273" bestFit="1" customWidth="1"/>
    <col min="7687" max="7927" width="10.28515625" style="273"/>
    <col min="7928" max="7928" width="36.7109375" style="273" customWidth="1"/>
    <col min="7929" max="7929" width="28.28515625" style="273" customWidth="1"/>
    <col min="7930" max="7933" width="6.85546875" style="273" customWidth="1"/>
    <col min="7934" max="7934" width="10.85546875" style="273" customWidth="1"/>
    <col min="7935" max="7935" width="11.140625" style="273" customWidth="1"/>
    <col min="7936" max="7936" width="15" style="273" customWidth="1"/>
    <col min="7937" max="7937" width="10.7109375" style="273" customWidth="1"/>
    <col min="7938" max="7938" width="10.28515625" style="273" customWidth="1"/>
    <col min="7939" max="7939" width="5.7109375" style="273" customWidth="1"/>
    <col min="7940" max="7940" width="7.28515625" style="273" customWidth="1"/>
    <col min="7941" max="7941" width="10.28515625" style="273"/>
    <col min="7942" max="7942" width="10.42578125" style="273" bestFit="1" customWidth="1"/>
    <col min="7943" max="8183" width="10.28515625" style="273"/>
    <col min="8184" max="8184" width="36.7109375" style="273" customWidth="1"/>
    <col min="8185" max="8185" width="28.28515625" style="273" customWidth="1"/>
    <col min="8186" max="8189" width="6.85546875" style="273" customWidth="1"/>
    <col min="8190" max="8190" width="10.85546875" style="273" customWidth="1"/>
    <col min="8191" max="8191" width="11.140625" style="273" customWidth="1"/>
    <col min="8192" max="8192" width="15" style="273" customWidth="1"/>
    <col min="8193" max="8193" width="10.7109375" style="273" customWidth="1"/>
    <col min="8194" max="8194" width="10.28515625" style="273" customWidth="1"/>
    <col min="8195" max="8195" width="5.7109375" style="273" customWidth="1"/>
    <col min="8196" max="8196" width="7.28515625" style="273" customWidth="1"/>
    <col min="8197" max="8197" width="10.28515625" style="273"/>
    <col min="8198" max="8198" width="10.42578125" style="273" bestFit="1" customWidth="1"/>
    <col min="8199" max="8439" width="10.28515625" style="273"/>
    <col min="8440" max="8440" width="36.7109375" style="273" customWidth="1"/>
    <col min="8441" max="8441" width="28.28515625" style="273" customWidth="1"/>
    <col min="8442" max="8445" width="6.85546875" style="273" customWidth="1"/>
    <col min="8446" max="8446" width="10.85546875" style="273" customWidth="1"/>
    <col min="8447" max="8447" width="11.140625" style="273" customWidth="1"/>
    <col min="8448" max="8448" width="15" style="273" customWidth="1"/>
    <col min="8449" max="8449" width="10.7109375" style="273" customWidth="1"/>
    <col min="8450" max="8450" width="10.28515625" style="273" customWidth="1"/>
    <col min="8451" max="8451" width="5.7109375" style="273" customWidth="1"/>
    <col min="8452" max="8452" width="7.28515625" style="273" customWidth="1"/>
    <col min="8453" max="8453" width="10.28515625" style="273"/>
    <col min="8454" max="8454" width="10.42578125" style="273" bestFit="1" customWidth="1"/>
    <col min="8455" max="8695" width="10.28515625" style="273"/>
    <col min="8696" max="8696" width="36.7109375" style="273" customWidth="1"/>
    <col min="8697" max="8697" width="28.28515625" style="273" customWidth="1"/>
    <col min="8698" max="8701" width="6.85546875" style="273" customWidth="1"/>
    <col min="8702" max="8702" width="10.85546875" style="273" customWidth="1"/>
    <col min="8703" max="8703" width="11.140625" style="273" customWidth="1"/>
    <col min="8704" max="8704" width="15" style="273" customWidth="1"/>
    <col min="8705" max="8705" width="10.7109375" style="273" customWidth="1"/>
    <col min="8706" max="8706" width="10.28515625" style="273" customWidth="1"/>
    <col min="8707" max="8707" width="5.7109375" style="273" customWidth="1"/>
    <col min="8708" max="8708" width="7.28515625" style="273" customWidth="1"/>
    <col min="8709" max="8709" width="10.28515625" style="273"/>
    <col min="8710" max="8710" width="10.42578125" style="273" bestFit="1" customWidth="1"/>
    <col min="8711" max="8951" width="10.28515625" style="273"/>
    <col min="8952" max="8952" width="36.7109375" style="273" customWidth="1"/>
    <col min="8953" max="8953" width="28.28515625" style="273" customWidth="1"/>
    <col min="8954" max="8957" width="6.85546875" style="273" customWidth="1"/>
    <col min="8958" max="8958" width="10.85546875" style="273" customWidth="1"/>
    <col min="8959" max="8959" width="11.140625" style="273" customWidth="1"/>
    <col min="8960" max="8960" width="15" style="273" customWidth="1"/>
    <col min="8961" max="8961" width="10.7109375" style="273" customWidth="1"/>
    <col min="8962" max="8962" width="10.28515625" style="273" customWidth="1"/>
    <col min="8963" max="8963" width="5.7109375" style="273" customWidth="1"/>
    <col min="8964" max="8964" width="7.28515625" style="273" customWidth="1"/>
    <col min="8965" max="8965" width="10.28515625" style="273"/>
    <col min="8966" max="8966" width="10.42578125" style="273" bestFit="1" customWidth="1"/>
    <col min="8967" max="9207" width="10.28515625" style="273"/>
    <col min="9208" max="9208" width="36.7109375" style="273" customWidth="1"/>
    <col min="9209" max="9209" width="28.28515625" style="273" customWidth="1"/>
    <col min="9210" max="9213" width="6.85546875" style="273" customWidth="1"/>
    <col min="9214" max="9214" width="10.85546875" style="273" customWidth="1"/>
    <col min="9215" max="9215" width="11.140625" style="273" customWidth="1"/>
    <col min="9216" max="9216" width="15" style="273" customWidth="1"/>
    <col min="9217" max="9217" width="10.7109375" style="273" customWidth="1"/>
    <col min="9218" max="9218" width="10.28515625" style="273" customWidth="1"/>
    <col min="9219" max="9219" width="5.7109375" style="273" customWidth="1"/>
    <col min="9220" max="9220" width="7.28515625" style="273" customWidth="1"/>
    <col min="9221" max="9221" width="10.28515625" style="273"/>
    <col min="9222" max="9222" width="10.42578125" style="273" bestFit="1" customWidth="1"/>
    <col min="9223" max="9463" width="10.28515625" style="273"/>
    <col min="9464" max="9464" width="36.7109375" style="273" customWidth="1"/>
    <col min="9465" max="9465" width="28.28515625" style="273" customWidth="1"/>
    <col min="9466" max="9469" width="6.85546875" style="273" customWidth="1"/>
    <col min="9470" max="9470" width="10.85546875" style="273" customWidth="1"/>
    <col min="9471" max="9471" width="11.140625" style="273" customWidth="1"/>
    <col min="9472" max="9472" width="15" style="273" customWidth="1"/>
    <col min="9473" max="9473" width="10.7109375" style="273" customWidth="1"/>
    <col min="9474" max="9474" width="10.28515625" style="273" customWidth="1"/>
    <col min="9475" max="9475" width="5.7109375" style="273" customWidth="1"/>
    <col min="9476" max="9476" width="7.28515625" style="273" customWidth="1"/>
    <col min="9477" max="9477" width="10.28515625" style="273"/>
    <col min="9478" max="9478" width="10.42578125" style="273" bestFit="1" customWidth="1"/>
    <col min="9479" max="9719" width="10.28515625" style="273"/>
    <col min="9720" max="9720" width="36.7109375" style="273" customWidth="1"/>
    <col min="9721" max="9721" width="28.28515625" style="273" customWidth="1"/>
    <col min="9722" max="9725" width="6.85546875" style="273" customWidth="1"/>
    <col min="9726" max="9726" width="10.85546875" style="273" customWidth="1"/>
    <col min="9727" max="9727" width="11.140625" style="273" customWidth="1"/>
    <col min="9728" max="9728" width="15" style="273" customWidth="1"/>
    <col min="9729" max="9729" width="10.7109375" style="273" customWidth="1"/>
    <col min="9730" max="9730" width="10.28515625" style="273" customWidth="1"/>
    <col min="9731" max="9731" width="5.7109375" style="273" customWidth="1"/>
    <col min="9732" max="9732" width="7.28515625" style="273" customWidth="1"/>
    <col min="9733" max="9733" width="10.28515625" style="273"/>
    <col min="9734" max="9734" width="10.42578125" style="273" bestFit="1" customWidth="1"/>
    <col min="9735" max="9975" width="10.28515625" style="273"/>
    <col min="9976" max="9976" width="36.7109375" style="273" customWidth="1"/>
    <col min="9977" max="9977" width="28.28515625" style="273" customWidth="1"/>
    <col min="9978" max="9981" width="6.85546875" style="273" customWidth="1"/>
    <col min="9982" max="9982" width="10.85546875" style="273" customWidth="1"/>
    <col min="9983" max="9983" width="11.140625" style="273" customWidth="1"/>
    <col min="9984" max="9984" width="15" style="273" customWidth="1"/>
    <col min="9985" max="9985" width="10.7109375" style="273" customWidth="1"/>
    <col min="9986" max="9986" width="10.28515625" style="273" customWidth="1"/>
    <col min="9987" max="9987" width="5.7109375" style="273" customWidth="1"/>
    <col min="9988" max="9988" width="7.28515625" style="273" customWidth="1"/>
    <col min="9989" max="9989" width="10.28515625" style="273"/>
    <col min="9990" max="9990" width="10.42578125" style="273" bestFit="1" customWidth="1"/>
    <col min="9991" max="10231" width="10.28515625" style="273"/>
    <col min="10232" max="10232" width="36.7109375" style="273" customWidth="1"/>
    <col min="10233" max="10233" width="28.28515625" style="273" customWidth="1"/>
    <col min="10234" max="10237" width="6.85546875" style="273" customWidth="1"/>
    <col min="10238" max="10238" width="10.85546875" style="273" customWidth="1"/>
    <col min="10239" max="10239" width="11.140625" style="273" customWidth="1"/>
    <col min="10240" max="10240" width="15" style="273" customWidth="1"/>
    <col min="10241" max="10241" width="10.7109375" style="273" customWidth="1"/>
    <col min="10242" max="10242" width="10.28515625" style="273" customWidth="1"/>
    <col min="10243" max="10243" width="5.7109375" style="273" customWidth="1"/>
    <col min="10244" max="10244" width="7.28515625" style="273" customWidth="1"/>
    <col min="10245" max="10245" width="10.28515625" style="273"/>
    <col min="10246" max="10246" width="10.42578125" style="273" bestFit="1" customWidth="1"/>
    <col min="10247" max="10487" width="10.28515625" style="273"/>
    <col min="10488" max="10488" width="36.7109375" style="273" customWidth="1"/>
    <col min="10489" max="10489" width="28.28515625" style="273" customWidth="1"/>
    <col min="10490" max="10493" width="6.85546875" style="273" customWidth="1"/>
    <col min="10494" max="10494" width="10.85546875" style="273" customWidth="1"/>
    <col min="10495" max="10495" width="11.140625" style="273" customWidth="1"/>
    <col min="10496" max="10496" width="15" style="273" customWidth="1"/>
    <col min="10497" max="10497" width="10.7109375" style="273" customWidth="1"/>
    <col min="10498" max="10498" width="10.28515625" style="273" customWidth="1"/>
    <col min="10499" max="10499" width="5.7109375" style="273" customWidth="1"/>
    <col min="10500" max="10500" width="7.28515625" style="273" customWidth="1"/>
    <col min="10501" max="10501" width="10.28515625" style="273"/>
    <col min="10502" max="10502" width="10.42578125" style="273" bestFit="1" customWidth="1"/>
    <col min="10503" max="10743" width="10.28515625" style="273"/>
    <col min="10744" max="10744" width="36.7109375" style="273" customWidth="1"/>
    <col min="10745" max="10745" width="28.28515625" style="273" customWidth="1"/>
    <col min="10746" max="10749" width="6.85546875" style="273" customWidth="1"/>
    <col min="10750" max="10750" width="10.85546875" style="273" customWidth="1"/>
    <col min="10751" max="10751" width="11.140625" style="273" customWidth="1"/>
    <col min="10752" max="10752" width="15" style="273" customWidth="1"/>
    <col min="10753" max="10753" width="10.7109375" style="273" customWidth="1"/>
    <col min="10754" max="10754" width="10.28515625" style="273" customWidth="1"/>
    <col min="10755" max="10755" width="5.7109375" style="273" customWidth="1"/>
    <col min="10756" max="10756" width="7.28515625" style="273" customWidth="1"/>
    <col min="10757" max="10757" width="10.28515625" style="273"/>
    <col min="10758" max="10758" width="10.42578125" style="273" bestFit="1" customWidth="1"/>
    <col min="10759" max="10999" width="10.28515625" style="273"/>
    <col min="11000" max="11000" width="36.7109375" style="273" customWidth="1"/>
    <col min="11001" max="11001" width="28.28515625" style="273" customWidth="1"/>
    <col min="11002" max="11005" width="6.85546875" style="273" customWidth="1"/>
    <col min="11006" max="11006" width="10.85546875" style="273" customWidth="1"/>
    <col min="11007" max="11007" width="11.140625" style="273" customWidth="1"/>
    <col min="11008" max="11008" width="15" style="273" customWidth="1"/>
    <col min="11009" max="11009" width="10.7109375" style="273" customWidth="1"/>
    <col min="11010" max="11010" width="10.28515625" style="273" customWidth="1"/>
    <col min="11011" max="11011" width="5.7109375" style="273" customWidth="1"/>
    <col min="11012" max="11012" width="7.28515625" style="273" customWidth="1"/>
    <col min="11013" max="11013" width="10.28515625" style="273"/>
    <col min="11014" max="11014" width="10.42578125" style="273" bestFit="1" customWidth="1"/>
    <col min="11015" max="11255" width="10.28515625" style="273"/>
    <col min="11256" max="11256" width="36.7109375" style="273" customWidth="1"/>
    <col min="11257" max="11257" width="28.28515625" style="273" customWidth="1"/>
    <col min="11258" max="11261" width="6.85546875" style="273" customWidth="1"/>
    <col min="11262" max="11262" width="10.85546875" style="273" customWidth="1"/>
    <col min="11263" max="11263" width="11.140625" style="273" customWidth="1"/>
    <col min="11264" max="11264" width="15" style="273" customWidth="1"/>
    <col min="11265" max="11265" width="10.7109375" style="273" customWidth="1"/>
    <col min="11266" max="11266" width="10.28515625" style="273" customWidth="1"/>
    <col min="11267" max="11267" width="5.7109375" style="273" customWidth="1"/>
    <col min="11268" max="11268" width="7.28515625" style="273" customWidth="1"/>
    <col min="11269" max="11269" width="10.28515625" style="273"/>
    <col min="11270" max="11270" width="10.42578125" style="273" bestFit="1" customWidth="1"/>
    <col min="11271" max="11511" width="10.28515625" style="273"/>
    <col min="11512" max="11512" width="36.7109375" style="273" customWidth="1"/>
    <col min="11513" max="11513" width="28.28515625" style="273" customWidth="1"/>
    <col min="11514" max="11517" width="6.85546875" style="273" customWidth="1"/>
    <col min="11518" max="11518" width="10.85546875" style="273" customWidth="1"/>
    <col min="11519" max="11519" width="11.140625" style="273" customWidth="1"/>
    <col min="11520" max="11520" width="15" style="273" customWidth="1"/>
    <col min="11521" max="11521" width="10.7109375" style="273" customWidth="1"/>
    <col min="11522" max="11522" width="10.28515625" style="273" customWidth="1"/>
    <col min="11523" max="11523" width="5.7109375" style="273" customWidth="1"/>
    <col min="11524" max="11524" width="7.28515625" style="273" customWidth="1"/>
    <col min="11525" max="11525" width="10.28515625" style="273"/>
    <col min="11526" max="11526" width="10.42578125" style="273" bestFit="1" customWidth="1"/>
    <col min="11527" max="11767" width="10.28515625" style="273"/>
    <col min="11768" max="11768" width="36.7109375" style="273" customWidth="1"/>
    <col min="11769" max="11769" width="28.28515625" style="273" customWidth="1"/>
    <col min="11770" max="11773" width="6.85546875" style="273" customWidth="1"/>
    <col min="11774" max="11774" width="10.85546875" style="273" customWidth="1"/>
    <col min="11775" max="11775" width="11.140625" style="273" customWidth="1"/>
    <col min="11776" max="11776" width="15" style="273" customWidth="1"/>
    <col min="11777" max="11777" width="10.7109375" style="273" customWidth="1"/>
    <col min="11778" max="11778" width="10.28515625" style="273" customWidth="1"/>
    <col min="11779" max="11779" width="5.7109375" style="273" customWidth="1"/>
    <col min="11780" max="11780" width="7.28515625" style="273" customWidth="1"/>
    <col min="11781" max="11781" width="10.28515625" style="273"/>
    <col min="11782" max="11782" width="10.42578125" style="273" bestFit="1" customWidth="1"/>
    <col min="11783" max="12023" width="10.28515625" style="273"/>
    <col min="12024" max="12024" width="36.7109375" style="273" customWidth="1"/>
    <col min="12025" max="12025" width="28.28515625" style="273" customWidth="1"/>
    <col min="12026" max="12029" width="6.85546875" style="273" customWidth="1"/>
    <col min="12030" max="12030" width="10.85546875" style="273" customWidth="1"/>
    <col min="12031" max="12031" width="11.140625" style="273" customWidth="1"/>
    <col min="12032" max="12032" width="15" style="273" customWidth="1"/>
    <col min="12033" max="12033" width="10.7109375" style="273" customWidth="1"/>
    <col min="12034" max="12034" width="10.28515625" style="273" customWidth="1"/>
    <col min="12035" max="12035" width="5.7109375" style="273" customWidth="1"/>
    <col min="12036" max="12036" width="7.28515625" style="273" customWidth="1"/>
    <col min="12037" max="12037" width="10.28515625" style="273"/>
    <col min="12038" max="12038" width="10.42578125" style="273" bestFit="1" customWidth="1"/>
    <col min="12039" max="12279" width="10.28515625" style="273"/>
    <col min="12280" max="12280" width="36.7109375" style="273" customWidth="1"/>
    <col min="12281" max="12281" width="28.28515625" style="273" customWidth="1"/>
    <col min="12282" max="12285" width="6.85546875" style="273" customWidth="1"/>
    <col min="12286" max="12286" width="10.85546875" style="273" customWidth="1"/>
    <col min="12287" max="12287" width="11.140625" style="273" customWidth="1"/>
    <col min="12288" max="12288" width="15" style="273" customWidth="1"/>
    <col min="12289" max="12289" width="10.7109375" style="273" customWidth="1"/>
    <col min="12290" max="12290" width="10.28515625" style="273" customWidth="1"/>
    <col min="12291" max="12291" width="5.7109375" style="273" customWidth="1"/>
    <col min="12292" max="12292" width="7.28515625" style="273" customWidth="1"/>
    <col min="12293" max="12293" width="10.28515625" style="273"/>
    <col min="12294" max="12294" width="10.42578125" style="273" bestFit="1" customWidth="1"/>
    <col min="12295" max="12535" width="10.28515625" style="273"/>
    <col min="12536" max="12536" width="36.7109375" style="273" customWidth="1"/>
    <col min="12537" max="12537" width="28.28515625" style="273" customWidth="1"/>
    <col min="12538" max="12541" width="6.85546875" style="273" customWidth="1"/>
    <col min="12542" max="12542" width="10.85546875" style="273" customWidth="1"/>
    <col min="12543" max="12543" width="11.140625" style="273" customWidth="1"/>
    <col min="12544" max="12544" width="15" style="273" customWidth="1"/>
    <col min="12545" max="12545" width="10.7109375" style="273" customWidth="1"/>
    <col min="12546" max="12546" width="10.28515625" style="273" customWidth="1"/>
    <col min="12547" max="12547" width="5.7109375" style="273" customWidth="1"/>
    <col min="12548" max="12548" width="7.28515625" style="273" customWidth="1"/>
    <col min="12549" max="12549" width="10.28515625" style="273"/>
    <col min="12550" max="12550" width="10.42578125" style="273" bestFit="1" customWidth="1"/>
    <col min="12551" max="12791" width="10.28515625" style="273"/>
    <col min="12792" max="12792" width="36.7109375" style="273" customWidth="1"/>
    <col min="12793" max="12793" width="28.28515625" style="273" customWidth="1"/>
    <col min="12794" max="12797" width="6.85546875" style="273" customWidth="1"/>
    <col min="12798" max="12798" width="10.85546875" style="273" customWidth="1"/>
    <col min="12799" max="12799" width="11.140625" style="273" customWidth="1"/>
    <col min="12800" max="12800" width="15" style="273" customWidth="1"/>
    <col min="12801" max="12801" width="10.7109375" style="273" customWidth="1"/>
    <col min="12802" max="12802" width="10.28515625" style="273" customWidth="1"/>
    <col min="12803" max="12803" width="5.7109375" style="273" customWidth="1"/>
    <col min="12804" max="12804" width="7.28515625" style="273" customWidth="1"/>
    <col min="12805" max="12805" width="10.28515625" style="273"/>
    <col min="12806" max="12806" width="10.42578125" style="273" bestFit="1" customWidth="1"/>
    <col min="12807" max="13047" width="10.28515625" style="273"/>
    <col min="13048" max="13048" width="36.7109375" style="273" customWidth="1"/>
    <col min="13049" max="13049" width="28.28515625" style="273" customWidth="1"/>
    <col min="13050" max="13053" width="6.85546875" style="273" customWidth="1"/>
    <col min="13054" max="13054" width="10.85546875" style="273" customWidth="1"/>
    <col min="13055" max="13055" width="11.140625" style="273" customWidth="1"/>
    <col min="13056" max="13056" width="15" style="273" customWidth="1"/>
    <col min="13057" max="13057" width="10.7109375" style="273" customWidth="1"/>
    <col min="13058" max="13058" width="10.28515625" style="273" customWidth="1"/>
    <col min="13059" max="13059" width="5.7109375" style="273" customWidth="1"/>
    <col min="13060" max="13060" width="7.28515625" style="273" customWidth="1"/>
    <col min="13061" max="13061" width="10.28515625" style="273"/>
    <col min="13062" max="13062" width="10.42578125" style="273" bestFit="1" customWidth="1"/>
    <col min="13063" max="13303" width="10.28515625" style="273"/>
    <col min="13304" max="13304" width="36.7109375" style="273" customWidth="1"/>
    <col min="13305" max="13305" width="28.28515625" style="273" customWidth="1"/>
    <col min="13306" max="13309" width="6.85546875" style="273" customWidth="1"/>
    <col min="13310" max="13310" width="10.85546875" style="273" customWidth="1"/>
    <col min="13311" max="13311" width="11.140625" style="273" customWidth="1"/>
    <col min="13312" max="13312" width="15" style="273" customWidth="1"/>
    <col min="13313" max="13313" width="10.7109375" style="273" customWidth="1"/>
    <col min="13314" max="13314" width="10.28515625" style="273" customWidth="1"/>
    <col min="13315" max="13315" width="5.7109375" style="273" customWidth="1"/>
    <col min="13316" max="13316" width="7.28515625" style="273" customWidth="1"/>
    <col min="13317" max="13317" width="10.28515625" style="273"/>
    <col min="13318" max="13318" width="10.42578125" style="273" bestFit="1" customWidth="1"/>
    <col min="13319" max="13559" width="10.28515625" style="273"/>
    <col min="13560" max="13560" width="36.7109375" style="273" customWidth="1"/>
    <col min="13561" max="13561" width="28.28515625" style="273" customWidth="1"/>
    <col min="13562" max="13565" width="6.85546875" style="273" customWidth="1"/>
    <col min="13566" max="13566" width="10.85546875" style="273" customWidth="1"/>
    <col min="13567" max="13567" width="11.140625" style="273" customWidth="1"/>
    <col min="13568" max="13568" width="15" style="273" customWidth="1"/>
    <col min="13569" max="13569" width="10.7109375" style="273" customWidth="1"/>
    <col min="13570" max="13570" width="10.28515625" style="273" customWidth="1"/>
    <col min="13571" max="13571" width="5.7109375" style="273" customWidth="1"/>
    <col min="13572" max="13572" width="7.28515625" style="273" customWidth="1"/>
    <col min="13573" max="13573" width="10.28515625" style="273"/>
    <col min="13574" max="13574" width="10.42578125" style="273" bestFit="1" customWidth="1"/>
    <col min="13575" max="13815" width="10.28515625" style="273"/>
    <col min="13816" max="13816" width="36.7109375" style="273" customWidth="1"/>
    <col min="13817" max="13817" width="28.28515625" style="273" customWidth="1"/>
    <col min="13818" max="13821" width="6.85546875" style="273" customWidth="1"/>
    <col min="13822" max="13822" width="10.85546875" style="273" customWidth="1"/>
    <col min="13823" max="13823" width="11.140625" style="273" customWidth="1"/>
    <col min="13824" max="13824" width="15" style="273" customWidth="1"/>
    <col min="13825" max="13825" width="10.7109375" style="273" customWidth="1"/>
    <col min="13826" max="13826" width="10.28515625" style="273" customWidth="1"/>
    <col min="13827" max="13827" width="5.7109375" style="273" customWidth="1"/>
    <col min="13828" max="13828" width="7.28515625" style="273" customWidth="1"/>
    <col min="13829" max="13829" width="10.28515625" style="273"/>
    <col min="13830" max="13830" width="10.42578125" style="273" bestFit="1" customWidth="1"/>
    <col min="13831" max="14071" width="10.28515625" style="273"/>
    <col min="14072" max="14072" width="36.7109375" style="273" customWidth="1"/>
    <col min="14073" max="14073" width="28.28515625" style="273" customWidth="1"/>
    <col min="14074" max="14077" width="6.85546875" style="273" customWidth="1"/>
    <col min="14078" max="14078" width="10.85546875" style="273" customWidth="1"/>
    <col min="14079" max="14079" width="11.140625" style="273" customWidth="1"/>
    <col min="14080" max="14080" width="15" style="273" customWidth="1"/>
    <col min="14081" max="14081" width="10.7109375" style="273" customWidth="1"/>
    <col min="14082" max="14082" width="10.28515625" style="273" customWidth="1"/>
    <col min="14083" max="14083" width="5.7109375" style="273" customWidth="1"/>
    <col min="14084" max="14084" width="7.28515625" style="273" customWidth="1"/>
    <col min="14085" max="14085" width="10.28515625" style="273"/>
    <col min="14086" max="14086" width="10.42578125" style="273" bestFit="1" customWidth="1"/>
    <col min="14087" max="14327" width="10.28515625" style="273"/>
    <col min="14328" max="14328" width="36.7109375" style="273" customWidth="1"/>
    <col min="14329" max="14329" width="28.28515625" style="273" customWidth="1"/>
    <col min="14330" max="14333" width="6.85546875" style="273" customWidth="1"/>
    <col min="14334" max="14334" width="10.85546875" style="273" customWidth="1"/>
    <col min="14335" max="14335" width="11.140625" style="273" customWidth="1"/>
    <col min="14336" max="14336" width="15" style="273" customWidth="1"/>
    <col min="14337" max="14337" width="10.7109375" style="273" customWidth="1"/>
    <col min="14338" max="14338" width="10.28515625" style="273" customWidth="1"/>
    <col min="14339" max="14339" width="5.7109375" style="273" customWidth="1"/>
    <col min="14340" max="14340" width="7.28515625" style="273" customWidth="1"/>
    <col min="14341" max="14341" width="10.28515625" style="273"/>
    <col min="14342" max="14342" width="10.42578125" style="273" bestFit="1" customWidth="1"/>
    <col min="14343" max="14583" width="10.28515625" style="273"/>
    <col min="14584" max="14584" width="36.7109375" style="273" customWidth="1"/>
    <col min="14585" max="14585" width="28.28515625" style="273" customWidth="1"/>
    <col min="14586" max="14589" width="6.85546875" style="273" customWidth="1"/>
    <col min="14590" max="14590" width="10.85546875" style="273" customWidth="1"/>
    <col min="14591" max="14591" width="11.140625" style="273" customWidth="1"/>
    <col min="14592" max="14592" width="15" style="273" customWidth="1"/>
    <col min="14593" max="14593" width="10.7109375" style="273" customWidth="1"/>
    <col min="14594" max="14594" width="10.28515625" style="273" customWidth="1"/>
    <col min="14595" max="14595" width="5.7109375" style="273" customWidth="1"/>
    <col min="14596" max="14596" width="7.28515625" style="273" customWidth="1"/>
    <col min="14597" max="14597" width="10.28515625" style="273"/>
    <col min="14598" max="14598" width="10.42578125" style="273" bestFit="1" customWidth="1"/>
    <col min="14599" max="14839" width="10.28515625" style="273"/>
    <col min="14840" max="14840" width="36.7109375" style="273" customWidth="1"/>
    <col min="14841" max="14841" width="28.28515625" style="273" customWidth="1"/>
    <col min="14842" max="14845" width="6.85546875" style="273" customWidth="1"/>
    <col min="14846" max="14846" width="10.85546875" style="273" customWidth="1"/>
    <col min="14847" max="14847" width="11.140625" style="273" customWidth="1"/>
    <col min="14848" max="14848" width="15" style="273" customWidth="1"/>
    <col min="14849" max="14849" width="10.7109375" style="273" customWidth="1"/>
    <col min="14850" max="14850" width="10.28515625" style="273" customWidth="1"/>
    <col min="14851" max="14851" width="5.7109375" style="273" customWidth="1"/>
    <col min="14852" max="14852" width="7.28515625" style="273" customWidth="1"/>
    <col min="14853" max="14853" width="10.28515625" style="273"/>
    <col min="14854" max="14854" width="10.42578125" style="273" bestFit="1" customWidth="1"/>
    <col min="14855" max="15095" width="10.28515625" style="273"/>
    <col min="15096" max="15096" width="36.7109375" style="273" customWidth="1"/>
    <col min="15097" max="15097" width="28.28515625" style="273" customWidth="1"/>
    <col min="15098" max="15101" width="6.85546875" style="273" customWidth="1"/>
    <col min="15102" max="15102" width="10.85546875" style="273" customWidth="1"/>
    <col min="15103" max="15103" width="11.140625" style="273" customWidth="1"/>
    <col min="15104" max="15104" width="15" style="273" customWidth="1"/>
    <col min="15105" max="15105" width="10.7109375" style="273" customWidth="1"/>
    <col min="15106" max="15106" width="10.28515625" style="273" customWidth="1"/>
    <col min="15107" max="15107" width="5.7109375" style="273" customWidth="1"/>
    <col min="15108" max="15108" width="7.28515625" style="273" customWidth="1"/>
    <col min="15109" max="15109" width="10.28515625" style="273"/>
    <col min="15110" max="15110" width="10.42578125" style="273" bestFit="1" customWidth="1"/>
    <col min="15111" max="15351" width="10.28515625" style="273"/>
    <col min="15352" max="15352" width="36.7109375" style="273" customWidth="1"/>
    <col min="15353" max="15353" width="28.28515625" style="273" customWidth="1"/>
    <col min="15354" max="15357" width="6.85546875" style="273" customWidth="1"/>
    <col min="15358" max="15358" width="10.85546875" style="273" customWidth="1"/>
    <col min="15359" max="15359" width="11.140625" style="273" customWidth="1"/>
    <col min="15360" max="15360" width="15" style="273" customWidth="1"/>
    <col min="15361" max="15361" width="10.7109375" style="273" customWidth="1"/>
    <col min="15362" max="15362" width="10.28515625" style="273" customWidth="1"/>
    <col min="15363" max="15363" width="5.7109375" style="273" customWidth="1"/>
    <col min="15364" max="15364" width="7.28515625" style="273" customWidth="1"/>
    <col min="15365" max="15365" width="10.28515625" style="273"/>
    <col min="15366" max="15366" width="10.42578125" style="273" bestFit="1" customWidth="1"/>
    <col min="15367" max="15607" width="10.28515625" style="273"/>
    <col min="15608" max="15608" width="36.7109375" style="273" customWidth="1"/>
    <col min="15609" max="15609" width="28.28515625" style="273" customWidth="1"/>
    <col min="15610" max="15613" width="6.85546875" style="273" customWidth="1"/>
    <col min="15614" max="15614" width="10.85546875" style="273" customWidth="1"/>
    <col min="15615" max="15615" width="11.140625" style="273" customWidth="1"/>
    <col min="15616" max="15616" width="15" style="273" customWidth="1"/>
    <col min="15617" max="15617" width="10.7109375" style="273" customWidth="1"/>
    <col min="15618" max="15618" width="10.28515625" style="273" customWidth="1"/>
    <col min="15619" max="15619" width="5.7109375" style="273" customWidth="1"/>
    <col min="15620" max="15620" width="7.28515625" style="273" customWidth="1"/>
    <col min="15621" max="15621" width="10.28515625" style="273"/>
    <col min="15622" max="15622" width="10.42578125" style="273" bestFit="1" customWidth="1"/>
    <col min="15623" max="15863" width="10.28515625" style="273"/>
    <col min="15864" max="15864" width="36.7109375" style="273" customWidth="1"/>
    <col min="15865" max="15865" width="28.28515625" style="273" customWidth="1"/>
    <col min="15866" max="15869" width="6.85546875" style="273" customWidth="1"/>
    <col min="15870" max="15870" width="10.85546875" style="273" customWidth="1"/>
    <col min="15871" max="15871" width="11.140625" style="273" customWidth="1"/>
    <col min="15872" max="15872" width="15" style="273" customWidth="1"/>
    <col min="15873" max="15873" width="10.7109375" style="273" customWidth="1"/>
    <col min="15874" max="15874" width="10.28515625" style="273" customWidth="1"/>
    <col min="15875" max="15875" width="5.7109375" style="273" customWidth="1"/>
    <col min="15876" max="15876" width="7.28515625" style="273" customWidth="1"/>
    <col min="15877" max="15877" width="10.28515625" style="273"/>
    <col min="15878" max="15878" width="10.42578125" style="273" bestFit="1" customWidth="1"/>
    <col min="15879" max="16119" width="10.28515625" style="273"/>
    <col min="16120" max="16120" width="36.7109375" style="273" customWidth="1"/>
    <col min="16121" max="16121" width="28.28515625" style="273" customWidth="1"/>
    <col min="16122" max="16125" width="6.85546875" style="273" customWidth="1"/>
    <col min="16126" max="16126" width="10.85546875" style="273" customWidth="1"/>
    <col min="16127" max="16127" width="11.140625" style="273" customWidth="1"/>
    <col min="16128" max="16128" width="15" style="273" customWidth="1"/>
    <col min="16129" max="16129" width="10.7109375" style="273" customWidth="1"/>
    <col min="16130" max="16130" width="10.28515625" style="273" customWidth="1"/>
    <col min="16131" max="16131" width="5.7109375" style="273" customWidth="1"/>
    <col min="16132" max="16132" width="7.28515625" style="273" customWidth="1"/>
    <col min="16133" max="16133" width="10.28515625" style="273"/>
    <col min="16134" max="16134" width="10.42578125" style="273" bestFit="1" customWidth="1"/>
    <col min="16135" max="16384" width="10.28515625" style="273"/>
  </cols>
  <sheetData>
    <row r="1" spans="1:13" s="217" customFormat="1" ht="15.75" x14ac:dyDescent="0.25"/>
    <row r="2" spans="1:13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</row>
    <row r="3" spans="1:13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</row>
    <row r="4" spans="1:13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</row>
    <row r="5" spans="1:13" s="8" customFormat="1" ht="19.5" thickBot="1" x14ac:dyDescent="0.3">
      <c r="B5" s="9"/>
      <c r="K5" s="10" t="s">
        <v>1410</v>
      </c>
    </row>
    <row r="6" spans="1:13" s="63" customFormat="1" ht="24" thickBot="1" x14ac:dyDescent="0.3">
      <c r="B6" s="220" t="s">
        <v>1308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3" t="s">
        <v>0</v>
      </c>
    </row>
    <row r="7" spans="1:13" s="217" customFormat="1" ht="6.7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</row>
    <row r="8" spans="1:13" s="47" customFormat="1" ht="15.75" customHeight="1" x14ac:dyDescent="0.25">
      <c r="A8" s="59"/>
      <c r="B8" s="341" t="s">
        <v>1</v>
      </c>
      <c r="C8" s="337" t="s">
        <v>2</v>
      </c>
      <c r="D8" s="338"/>
      <c r="E8" s="337" t="s">
        <v>3</v>
      </c>
      <c r="F8" s="338"/>
      <c r="G8" s="219" t="s">
        <v>4</v>
      </c>
      <c r="H8" s="389" t="s">
        <v>5</v>
      </c>
      <c r="I8" s="390"/>
      <c r="J8" s="325" t="s">
        <v>6</v>
      </c>
      <c r="K8" s="328" t="s">
        <v>7</v>
      </c>
      <c r="L8" s="312" t="s">
        <v>8</v>
      </c>
      <c r="M8" s="16" t="s">
        <v>9</v>
      </c>
    </row>
    <row r="9" spans="1:13" s="59" customFormat="1" ht="23.25" x14ac:dyDescent="0.25">
      <c r="A9" s="216" t="s">
        <v>1257</v>
      </c>
      <c r="B9" s="342"/>
      <c r="C9" s="339"/>
      <c r="D9" s="340"/>
      <c r="E9" s="339" t="s">
        <v>10</v>
      </c>
      <c r="F9" s="340" t="s">
        <v>11</v>
      </c>
      <c r="G9" s="21"/>
      <c r="H9" s="344" t="s">
        <v>43</v>
      </c>
      <c r="I9" s="349"/>
      <c r="J9" s="326"/>
      <c r="K9" s="329"/>
      <c r="L9" s="313"/>
      <c r="M9" s="22"/>
    </row>
    <row r="10" spans="1:13" s="47" customFormat="1" ht="16.5" thickBot="1" x14ac:dyDescent="0.3">
      <c r="B10" s="343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202" t="s">
        <v>717</v>
      </c>
      <c r="I10" s="187" t="s">
        <v>18</v>
      </c>
      <c r="J10" s="327"/>
      <c r="K10" s="26" t="s">
        <v>19</v>
      </c>
      <c r="L10" s="27" t="s">
        <v>20</v>
      </c>
      <c r="M10" s="28" t="s">
        <v>21</v>
      </c>
    </row>
    <row r="11" spans="1:13" s="272" customFormat="1" ht="15.75" thickBot="1" x14ac:dyDescent="0.3">
      <c r="A11" s="275"/>
      <c r="B11" s="276" t="s">
        <v>1259</v>
      </c>
      <c r="C11" s="30">
        <v>11</v>
      </c>
      <c r="D11" s="31">
        <v>15</v>
      </c>
      <c r="E11" s="30">
        <v>15</v>
      </c>
      <c r="F11" s="31">
        <v>82</v>
      </c>
      <c r="G11" s="32" t="s">
        <v>22</v>
      </c>
      <c r="H11" s="278"/>
      <c r="I11" s="277">
        <v>1711.9402298880002</v>
      </c>
      <c r="J11" s="30" t="s">
        <v>24</v>
      </c>
      <c r="K11" s="34">
        <v>2900</v>
      </c>
      <c r="L11" s="34" t="s">
        <v>1258</v>
      </c>
      <c r="M11" s="279" t="s">
        <v>1258</v>
      </c>
    </row>
    <row r="12" spans="1:13" s="272" customFormat="1" ht="15.75" thickBot="1" x14ac:dyDescent="0.3">
      <c r="A12" s="275"/>
      <c r="B12" s="276" t="s">
        <v>1260</v>
      </c>
      <c r="C12" s="30">
        <v>15</v>
      </c>
      <c r="D12" s="31">
        <v>20</v>
      </c>
      <c r="E12" s="30">
        <v>15</v>
      </c>
      <c r="F12" s="31">
        <v>90</v>
      </c>
      <c r="G12" s="32" t="s">
        <v>22</v>
      </c>
      <c r="H12" s="278"/>
      <c r="I12" s="277">
        <v>1865.61585504</v>
      </c>
      <c r="J12" s="30" t="s">
        <v>24</v>
      </c>
      <c r="K12" s="34">
        <v>2900</v>
      </c>
      <c r="L12" s="34" t="s">
        <v>1258</v>
      </c>
      <c r="M12" s="279" t="s">
        <v>1258</v>
      </c>
    </row>
    <row r="13" spans="1:13" s="272" customFormat="1" ht="15.75" thickBot="1" x14ac:dyDescent="0.3">
      <c r="A13" s="275"/>
      <c r="B13" s="276" t="s">
        <v>1261</v>
      </c>
      <c r="C13" s="30">
        <v>11</v>
      </c>
      <c r="D13" s="31">
        <v>15</v>
      </c>
      <c r="E13" s="30">
        <v>27</v>
      </c>
      <c r="F13" s="31">
        <v>63.5</v>
      </c>
      <c r="G13" s="32" t="s">
        <v>25</v>
      </c>
      <c r="H13" s="278"/>
      <c r="I13" s="277">
        <v>1751.2163531519998</v>
      </c>
      <c r="J13" s="30" t="s">
        <v>24</v>
      </c>
      <c r="K13" s="34">
        <v>2900</v>
      </c>
      <c r="L13" s="34" t="s">
        <v>1258</v>
      </c>
      <c r="M13" s="279" t="s">
        <v>1258</v>
      </c>
    </row>
    <row r="14" spans="1:13" s="272" customFormat="1" ht="15.75" thickBot="1" x14ac:dyDescent="0.3">
      <c r="A14" s="275"/>
      <c r="B14" s="276" t="s">
        <v>1262</v>
      </c>
      <c r="C14" s="30">
        <v>15</v>
      </c>
      <c r="D14" s="31">
        <v>20</v>
      </c>
      <c r="E14" s="30">
        <v>27</v>
      </c>
      <c r="F14" s="31">
        <v>75.2</v>
      </c>
      <c r="G14" s="32" t="s">
        <v>25</v>
      </c>
      <c r="H14" s="278"/>
      <c r="I14" s="277">
        <v>1904.8919783040001</v>
      </c>
      <c r="J14" s="30" t="s">
        <v>24</v>
      </c>
      <c r="K14" s="34">
        <v>2900</v>
      </c>
      <c r="L14" s="34" t="s">
        <v>1258</v>
      </c>
      <c r="M14" s="279" t="s">
        <v>1258</v>
      </c>
    </row>
    <row r="15" spans="1:13" s="272" customFormat="1" ht="15.75" thickBot="1" x14ac:dyDescent="0.3">
      <c r="A15" s="275"/>
      <c r="B15" s="276" t="s">
        <v>1263</v>
      </c>
      <c r="C15" s="30">
        <v>18.5</v>
      </c>
      <c r="D15" s="31">
        <v>25</v>
      </c>
      <c r="E15" s="30">
        <v>27</v>
      </c>
      <c r="F15" s="31">
        <v>80.7</v>
      </c>
      <c r="G15" s="32" t="s">
        <v>25</v>
      </c>
      <c r="H15" s="278"/>
      <c r="I15" s="277">
        <v>2104.7014625280003</v>
      </c>
      <c r="J15" s="30" t="s">
        <v>24</v>
      </c>
      <c r="K15" s="34">
        <v>2900</v>
      </c>
      <c r="L15" s="34" t="s">
        <v>1258</v>
      </c>
      <c r="M15" s="279" t="s">
        <v>1258</v>
      </c>
    </row>
    <row r="16" spans="1:13" s="272" customFormat="1" ht="15.75" thickBot="1" x14ac:dyDescent="0.3">
      <c r="A16" s="275"/>
      <c r="B16" s="276" t="s">
        <v>1264</v>
      </c>
      <c r="C16" s="30">
        <v>11</v>
      </c>
      <c r="D16" s="31">
        <v>15</v>
      </c>
      <c r="E16" s="30">
        <v>54</v>
      </c>
      <c r="F16" s="31">
        <v>47.5</v>
      </c>
      <c r="G16" s="32" t="s">
        <v>26</v>
      </c>
      <c r="H16" s="278"/>
      <c r="I16" s="277">
        <v>1895.2288051200001</v>
      </c>
      <c r="J16" s="30" t="s">
        <v>24</v>
      </c>
      <c r="K16" s="34">
        <v>2900</v>
      </c>
      <c r="L16" s="34" t="s">
        <v>1258</v>
      </c>
      <c r="M16" s="279" t="s">
        <v>1258</v>
      </c>
    </row>
    <row r="17" spans="1:13" s="272" customFormat="1" ht="15.75" thickBot="1" x14ac:dyDescent="0.3">
      <c r="A17" s="275"/>
      <c r="B17" s="276" t="s">
        <v>1265</v>
      </c>
      <c r="C17" s="30">
        <v>15</v>
      </c>
      <c r="D17" s="31">
        <v>20</v>
      </c>
      <c r="E17" s="30">
        <v>54</v>
      </c>
      <c r="F17" s="31">
        <v>52</v>
      </c>
      <c r="G17" s="32" t="s">
        <v>26</v>
      </c>
      <c r="H17" s="278"/>
      <c r="I17" s="277">
        <v>1914.8668667519999</v>
      </c>
      <c r="J17" s="30" t="s">
        <v>24</v>
      </c>
      <c r="K17" s="34">
        <v>2900</v>
      </c>
      <c r="L17" s="34" t="s">
        <v>1258</v>
      </c>
      <c r="M17" s="279" t="s">
        <v>1258</v>
      </c>
    </row>
    <row r="18" spans="1:13" s="272" customFormat="1" ht="15.75" thickBot="1" x14ac:dyDescent="0.3">
      <c r="A18" s="275"/>
      <c r="B18" s="276" t="s">
        <v>1266</v>
      </c>
      <c r="C18" s="30">
        <v>15</v>
      </c>
      <c r="D18" s="31">
        <v>20</v>
      </c>
      <c r="E18" s="30">
        <v>54</v>
      </c>
      <c r="F18" s="31">
        <v>59</v>
      </c>
      <c r="G18" s="32" t="s">
        <v>26</v>
      </c>
      <c r="H18" s="278"/>
      <c r="I18" s="277">
        <v>1937.6220810240002</v>
      </c>
      <c r="J18" s="30" t="s">
        <v>24</v>
      </c>
      <c r="K18" s="34">
        <v>2900</v>
      </c>
      <c r="L18" s="34" t="s">
        <v>1258</v>
      </c>
      <c r="M18" s="279" t="s">
        <v>1258</v>
      </c>
    </row>
    <row r="19" spans="1:13" s="272" customFormat="1" ht="15.75" thickBot="1" x14ac:dyDescent="0.3">
      <c r="A19" s="275"/>
      <c r="B19" s="276" t="s">
        <v>1267</v>
      </c>
      <c r="C19" s="30">
        <v>18.5</v>
      </c>
      <c r="D19" s="31">
        <v>25</v>
      </c>
      <c r="E19" s="30">
        <v>54</v>
      </c>
      <c r="F19" s="31">
        <v>71.5</v>
      </c>
      <c r="G19" s="32" t="s">
        <v>26</v>
      </c>
      <c r="H19" s="278"/>
      <c r="I19" s="277">
        <v>2137.431565248</v>
      </c>
      <c r="J19" s="30" t="s">
        <v>24</v>
      </c>
      <c r="K19" s="34">
        <v>2900</v>
      </c>
      <c r="L19" s="34" t="s">
        <v>1258</v>
      </c>
      <c r="M19" s="279" t="s">
        <v>1258</v>
      </c>
    </row>
    <row r="20" spans="1:13" s="272" customFormat="1" ht="15.75" thickBot="1" x14ac:dyDescent="0.3">
      <c r="A20" s="275"/>
      <c r="B20" s="276" t="s">
        <v>1268</v>
      </c>
      <c r="C20" s="30">
        <v>22</v>
      </c>
      <c r="D20" s="31">
        <v>30</v>
      </c>
      <c r="E20" s="30">
        <v>54</v>
      </c>
      <c r="F20" s="31">
        <v>81.5</v>
      </c>
      <c r="G20" s="32" t="s">
        <v>26</v>
      </c>
      <c r="H20" s="278"/>
      <c r="I20" s="277">
        <v>2366.5422842880002</v>
      </c>
      <c r="J20" s="30" t="s">
        <v>24</v>
      </c>
      <c r="K20" s="34">
        <v>2900</v>
      </c>
      <c r="L20" s="34" t="s">
        <v>1258</v>
      </c>
      <c r="M20" s="279" t="s">
        <v>1258</v>
      </c>
    </row>
    <row r="21" spans="1:13" s="272" customFormat="1" ht="15.75" thickBot="1" x14ac:dyDescent="0.3">
      <c r="A21" s="275"/>
      <c r="B21" s="276" t="s">
        <v>1269</v>
      </c>
      <c r="C21" s="30">
        <v>11</v>
      </c>
      <c r="D21" s="31">
        <v>15</v>
      </c>
      <c r="E21" s="30">
        <v>84</v>
      </c>
      <c r="F21" s="31">
        <v>31.5</v>
      </c>
      <c r="G21" s="32" t="s">
        <v>27</v>
      </c>
      <c r="H21" s="278"/>
      <c r="I21" s="277">
        <v>1921.412887296</v>
      </c>
      <c r="J21" s="30" t="s">
        <v>24</v>
      </c>
      <c r="K21" s="34">
        <v>2900</v>
      </c>
      <c r="L21" s="34" t="s">
        <v>1258</v>
      </c>
      <c r="M21" s="279" t="s">
        <v>1258</v>
      </c>
    </row>
    <row r="22" spans="1:13" s="272" customFormat="1" ht="15.75" thickBot="1" x14ac:dyDescent="0.3">
      <c r="A22" s="275"/>
      <c r="B22" s="276" t="s">
        <v>1270</v>
      </c>
      <c r="C22" s="30">
        <v>15</v>
      </c>
      <c r="D22" s="31">
        <v>20</v>
      </c>
      <c r="E22" s="30">
        <v>84</v>
      </c>
      <c r="F22" s="31">
        <v>38.5</v>
      </c>
      <c r="G22" s="32" t="s">
        <v>27</v>
      </c>
      <c r="H22" s="278"/>
      <c r="I22" s="277">
        <v>1914.8668667519999</v>
      </c>
      <c r="J22" s="30" t="s">
        <v>24</v>
      </c>
      <c r="K22" s="34">
        <v>2900</v>
      </c>
      <c r="L22" s="34" t="s">
        <v>1258</v>
      </c>
      <c r="M22" s="279" t="s">
        <v>1258</v>
      </c>
    </row>
    <row r="23" spans="1:13" s="272" customFormat="1" ht="15.75" thickBot="1" x14ac:dyDescent="0.3">
      <c r="A23" s="275"/>
      <c r="B23" s="276" t="s">
        <v>1271</v>
      </c>
      <c r="C23" s="30">
        <v>15</v>
      </c>
      <c r="D23" s="31">
        <v>20</v>
      </c>
      <c r="E23" s="30">
        <v>84</v>
      </c>
      <c r="F23" s="31">
        <v>41</v>
      </c>
      <c r="G23" s="32" t="s">
        <v>27</v>
      </c>
      <c r="H23" s="278"/>
      <c r="I23" s="277">
        <v>2006.5111543680002</v>
      </c>
      <c r="J23" s="30" t="s">
        <v>24</v>
      </c>
      <c r="K23" s="34">
        <v>2900</v>
      </c>
      <c r="L23" s="34" t="s">
        <v>1258</v>
      </c>
      <c r="M23" s="279" t="s">
        <v>1258</v>
      </c>
    </row>
    <row r="24" spans="1:13" s="272" customFormat="1" ht="15.75" thickBot="1" x14ac:dyDescent="0.3">
      <c r="A24" s="275"/>
      <c r="B24" s="276" t="s">
        <v>1272</v>
      </c>
      <c r="C24" s="30">
        <v>18.5</v>
      </c>
      <c r="D24" s="31">
        <v>25</v>
      </c>
      <c r="E24" s="30">
        <v>84</v>
      </c>
      <c r="F24" s="31">
        <v>49</v>
      </c>
      <c r="G24" s="32" t="s">
        <v>27</v>
      </c>
      <c r="H24" s="278"/>
      <c r="I24" s="277">
        <v>2291.1071904</v>
      </c>
      <c r="J24" s="30" t="s">
        <v>24</v>
      </c>
      <c r="K24" s="34">
        <v>2900</v>
      </c>
      <c r="L24" s="34" t="s">
        <v>1258</v>
      </c>
      <c r="M24" s="279" t="s">
        <v>1258</v>
      </c>
    </row>
    <row r="25" spans="1:13" s="272" customFormat="1" ht="15.75" thickBot="1" x14ac:dyDescent="0.3">
      <c r="A25" s="275"/>
      <c r="B25" s="276" t="s">
        <v>1273</v>
      </c>
      <c r="C25" s="30">
        <v>22</v>
      </c>
      <c r="D25" s="31">
        <v>30</v>
      </c>
      <c r="E25" s="30">
        <v>90</v>
      </c>
      <c r="F25" s="31">
        <v>55</v>
      </c>
      <c r="G25" s="32" t="s">
        <v>27</v>
      </c>
      <c r="H25" s="278"/>
      <c r="I25" s="277">
        <v>2408.9355601919997</v>
      </c>
      <c r="J25" s="30" t="s">
        <v>24</v>
      </c>
      <c r="K25" s="34">
        <v>2900</v>
      </c>
      <c r="L25" s="34" t="s">
        <v>1258</v>
      </c>
      <c r="M25" s="279" t="s">
        <v>1258</v>
      </c>
    </row>
    <row r="26" spans="1:13" s="272" customFormat="1" ht="15.75" thickBot="1" x14ac:dyDescent="0.3">
      <c r="A26" s="275"/>
      <c r="B26" s="276" t="s">
        <v>1274</v>
      </c>
      <c r="C26" s="30">
        <v>22</v>
      </c>
      <c r="D26" s="31">
        <v>30</v>
      </c>
      <c r="E26" s="30">
        <v>90</v>
      </c>
      <c r="F26" s="31">
        <v>58.5</v>
      </c>
      <c r="G26" s="32" t="s">
        <v>27</v>
      </c>
      <c r="H26" s="278"/>
      <c r="I26" s="277">
        <v>2549.8308595200001</v>
      </c>
      <c r="J26" s="30" t="s">
        <v>24</v>
      </c>
      <c r="K26" s="34">
        <v>2900</v>
      </c>
      <c r="L26" s="34" t="s">
        <v>1258</v>
      </c>
      <c r="M26" s="279" t="s">
        <v>1258</v>
      </c>
    </row>
    <row r="27" spans="1:13" s="272" customFormat="1" ht="15.75" thickBot="1" x14ac:dyDescent="0.3">
      <c r="A27" s="275"/>
      <c r="B27" s="276" t="s">
        <v>1275</v>
      </c>
      <c r="C27" s="30">
        <v>30</v>
      </c>
      <c r="D27" s="31">
        <v>40</v>
      </c>
      <c r="E27" s="30">
        <v>90</v>
      </c>
      <c r="F27" s="31">
        <v>74.5</v>
      </c>
      <c r="G27" s="32" t="s">
        <v>27</v>
      </c>
      <c r="H27" s="278"/>
      <c r="I27" s="277">
        <v>3142.08986112</v>
      </c>
      <c r="J27" s="30" t="s">
        <v>24</v>
      </c>
      <c r="K27" s="34">
        <v>2900</v>
      </c>
      <c r="L27" s="34" t="s">
        <v>1258</v>
      </c>
      <c r="M27" s="279" t="s">
        <v>1258</v>
      </c>
    </row>
    <row r="28" spans="1:13" s="272" customFormat="1" ht="15.75" thickBot="1" x14ac:dyDescent="0.3">
      <c r="A28" s="275"/>
      <c r="B28" s="276" t="s">
        <v>1276</v>
      </c>
      <c r="C28" s="30">
        <v>37</v>
      </c>
      <c r="D28" s="31">
        <v>50</v>
      </c>
      <c r="E28" s="30">
        <v>90</v>
      </c>
      <c r="F28" s="31">
        <v>85</v>
      </c>
      <c r="G28" s="32" t="s">
        <v>27</v>
      </c>
      <c r="H28" s="278"/>
      <c r="I28" s="277">
        <v>3587.2192581119998</v>
      </c>
      <c r="J28" s="30" t="s">
        <v>24</v>
      </c>
      <c r="K28" s="34">
        <v>2900</v>
      </c>
      <c r="L28" s="34" t="s">
        <v>1258</v>
      </c>
      <c r="M28" s="279" t="s">
        <v>1258</v>
      </c>
    </row>
    <row r="29" spans="1:13" s="272" customFormat="1" ht="15.75" thickBot="1" x14ac:dyDescent="0.3">
      <c r="A29" s="275"/>
      <c r="B29" s="276" t="s">
        <v>1277</v>
      </c>
      <c r="C29" s="30">
        <v>45</v>
      </c>
      <c r="D29" s="31">
        <v>60</v>
      </c>
      <c r="E29" s="30">
        <v>90</v>
      </c>
      <c r="F29" s="31">
        <v>94.5</v>
      </c>
      <c r="G29" s="32" t="s">
        <v>27</v>
      </c>
      <c r="H29" s="278"/>
      <c r="I29" s="277">
        <v>4300.7354974079999</v>
      </c>
      <c r="J29" s="30" t="s">
        <v>24</v>
      </c>
      <c r="K29" s="34">
        <v>2900</v>
      </c>
      <c r="L29" s="34" t="s">
        <v>1258</v>
      </c>
      <c r="M29" s="279" t="s">
        <v>1258</v>
      </c>
    </row>
    <row r="30" spans="1:13" s="272" customFormat="1" ht="15.75" thickBot="1" x14ac:dyDescent="0.3">
      <c r="A30" s="275"/>
      <c r="B30" s="276" t="s">
        <v>1278</v>
      </c>
      <c r="C30" s="30">
        <v>11</v>
      </c>
      <c r="D30" s="31">
        <v>15</v>
      </c>
      <c r="E30" s="30">
        <v>90</v>
      </c>
      <c r="F30" s="31">
        <v>27.3</v>
      </c>
      <c r="G30" s="32" t="s">
        <v>29</v>
      </c>
      <c r="H30" s="278"/>
      <c r="I30" s="277">
        <v>2019.6031954559999</v>
      </c>
      <c r="J30" s="30" t="s">
        <v>24</v>
      </c>
      <c r="K30" s="34">
        <v>2900</v>
      </c>
      <c r="L30" s="34" t="s">
        <v>1258</v>
      </c>
      <c r="M30" s="279" t="s">
        <v>1258</v>
      </c>
    </row>
    <row r="31" spans="1:13" s="272" customFormat="1" ht="15.75" thickBot="1" x14ac:dyDescent="0.3">
      <c r="A31" s="275"/>
      <c r="B31" s="276" t="s">
        <v>1279</v>
      </c>
      <c r="C31" s="30">
        <v>15</v>
      </c>
      <c r="D31" s="31">
        <v>20</v>
      </c>
      <c r="E31" s="30">
        <v>144</v>
      </c>
      <c r="F31" s="31">
        <v>27</v>
      </c>
      <c r="G31" s="32" t="s">
        <v>29</v>
      </c>
      <c r="H31" s="278"/>
      <c r="I31" s="277">
        <v>2085.0634008960001</v>
      </c>
      <c r="J31" s="30" t="s">
        <v>24</v>
      </c>
      <c r="K31" s="34">
        <v>2900</v>
      </c>
      <c r="L31" s="34" t="s">
        <v>1258</v>
      </c>
      <c r="M31" s="279" t="s">
        <v>1258</v>
      </c>
    </row>
    <row r="32" spans="1:13" s="272" customFormat="1" ht="15.75" thickBot="1" x14ac:dyDescent="0.3">
      <c r="A32" s="275"/>
      <c r="B32" s="276" t="s">
        <v>1280</v>
      </c>
      <c r="C32" s="30">
        <v>18.5</v>
      </c>
      <c r="D32" s="31">
        <v>25</v>
      </c>
      <c r="E32" s="30">
        <v>144</v>
      </c>
      <c r="F32" s="31">
        <v>33.6</v>
      </c>
      <c r="G32" s="32" t="s">
        <v>29</v>
      </c>
      <c r="H32" s="278"/>
      <c r="I32" s="277">
        <v>2330.3833136640001</v>
      </c>
      <c r="J32" s="30" t="s">
        <v>24</v>
      </c>
      <c r="K32" s="34">
        <v>2900</v>
      </c>
      <c r="L32" s="34" t="s">
        <v>1258</v>
      </c>
      <c r="M32" s="279" t="s">
        <v>1258</v>
      </c>
    </row>
    <row r="33" spans="1:16" s="272" customFormat="1" ht="15.75" thickBot="1" x14ac:dyDescent="0.3">
      <c r="A33" s="275"/>
      <c r="B33" s="276" t="s">
        <v>1281</v>
      </c>
      <c r="C33" s="30">
        <v>22</v>
      </c>
      <c r="D33" s="31">
        <v>30</v>
      </c>
      <c r="E33" s="30">
        <v>144</v>
      </c>
      <c r="F33" s="31">
        <v>38.6</v>
      </c>
      <c r="G33" s="32" t="s">
        <v>29</v>
      </c>
      <c r="H33" s="278"/>
      <c r="I33" s="277">
        <v>2454.7577040000001</v>
      </c>
      <c r="J33" s="30" t="s">
        <v>24</v>
      </c>
      <c r="K33" s="34">
        <v>2900</v>
      </c>
      <c r="L33" s="34" t="s">
        <v>1258</v>
      </c>
      <c r="M33" s="279" t="s">
        <v>1258</v>
      </c>
    </row>
    <row r="34" spans="1:16" s="272" customFormat="1" ht="15.75" thickBot="1" x14ac:dyDescent="0.3">
      <c r="A34" s="275"/>
      <c r="B34" s="276" t="s">
        <v>1282</v>
      </c>
      <c r="C34" s="30">
        <v>22</v>
      </c>
      <c r="D34" s="31">
        <v>30</v>
      </c>
      <c r="E34" s="30">
        <v>144</v>
      </c>
      <c r="F34" s="31">
        <v>39.200000000000003</v>
      </c>
      <c r="G34" s="32" t="s">
        <v>29</v>
      </c>
      <c r="H34" s="278"/>
      <c r="I34" s="277">
        <v>2605.3161765119999</v>
      </c>
      <c r="J34" s="30" t="s">
        <v>24</v>
      </c>
      <c r="K34" s="34">
        <v>2900</v>
      </c>
      <c r="L34" s="34" t="s">
        <v>1258</v>
      </c>
      <c r="M34" s="279" t="s">
        <v>1258</v>
      </c>
    </row>
    <row r="35" spans="1:16" s="272" customFormat="1" ht="15.75" thickBot="1" x14ac:dyDescent="0.3">
      <c r="A35" s="275"/>
      <c r="B35" s="276" t="s">
        <v>1283</v>
      </c>
      <c r="C35" s="30">
        <v>30</v>
      </c>
      <c r="D35" s="31">
        <v>40</v>
      </c>
      <c r="E35" s="30">
        <v>144</v>
      </c>
      <c r="F35" s="31">
        <v>53.1</v>
      </c>
      <c r="G35" s="32" t="s">
        <v>29</v>
      </c>
      <c r="H35" s="278"/>
      <c r="I35" s="277">
        <v>3152.064749568</v>
      </c>
      <c r="J35" s="30" t="s">
        <v>24</v>
      </c>
      <c r="K35" s="34">
        <v>2900</v>
      </c>
      <c r="L35" s="34" t="s">
        <v>1258</v>
      </c>
      <c r="M35" s="279" t="s">
        <v>1258</v>
      </c>
    </row>
    <row r="36" spans="1:16" s="272" customFormat="1" ht="15.75" thickBot="1" x14ac:dyDescent="0.3">
      <c r="A36" s="275"/>
      <c r="B36" s="276" t="s">
        <v>1284</v>
      </c>
      <c r="C36" s="30">
        <v>37</v>
      </c>
      <c r="D36" s="31">
        <v>50</v>
      </c>
      <c r="E36" s="30">
        <v>144</v>
      </c>
      <c r="F36" s="31">
        <v>59.3</v>
      </c>
      <c r="G36" s="32" t="s">
        <v>29</v>
      </c>
      <c r="H36" s="278"/>
      <c r="I36" s="277">
        <v>3662.654352</v>
      </c>
      <c r="J36" s="30" t="s">
        <v>24</v>
      </c>
      <c r="K36" s="34">
        <v>2900</v>
      </c>
      <c r="L36" s="34" t="s">
        <v>1258</v>
      </c>
      <c r="M36" s="279" t="s">
        <v>1258</v>
      </c>
    </row>
    <row r="37" spans="1:16" s="272" customFormat="1" ht="15.75" thickBot="1" x14ac:dyDescent="0.3">
      <c r="A37" s="275"/>
      <c r="B37" s="276" t="s">
        <v>1285</v>
      </c>
      <c r="C37" s="30">
        <v>45</v>
      </c>
      <c r="D37" s="31">
        <v>60</v>
      </c>
      <c r="E37" s="30">
        <v>144</v>
      </c>
      <c r="F37" s="31">
        <v>78.5</v>
      </c>
      <c r="G37" s="32" t="s">
        <v>29</v>
      </c>
      <c r="H37" s="278"/>
      <c r="I37" s="277">
        <v>4628.036524608</v>
      </c>
      <c r="J37" s="30" t="s">
        <v>24</v>
      </c>
      <c r="K37" s="34">
        <v>2900</v>
      </c>
      <c r="L37" s="34" t="s">
        <v>1258</v>
      </c>
      <c r="M37" s="279" t="s">
        <v>1258</v>
      </c>
    </row>
    <row r="38" spans="1:16" s="272" customFormat="1" ht="15.75" thickBot="1" x14ac:dyDescent="0.3">
      <c r="A38" s="275"/>
      <c r="B38" s="276" t="s">
        <v>1286</v>
      </c>
      <c r="C38" s="30">
        <v>45</v>
      </c>
      <c r="D38" s="31">
        <v>60</v>
      </c>
      <c r="E38" s="30">
        <v>144</v>
      </c>
      <c r="F38" s="31">
        <v>78</v>
      </c>
      <c r="G38" s="32" t="s">
        <v>29</v>
      </c>
      <c r="H38" s="278"/>
      <c r="I38" s="277">
        <v>4762.3858033919996</v>
      </c>
      <c r="J38" s="30" t="s">
        <v>24</v>
      </c>
      <c r="K38" s="34">
        <v>2900</v>
      </c>
      <c r="L38" s="34" t="s">
        <v>1258</v>
      </c>
      <c r="M38" s="279" t="s">
        <v>1258</v>
      </c>
    </row>
    <row r="39" spans="1:16" s="272" customFormat="1" ht="15.75" thickBot="1" x14ac:dyDescent="0.3">
      <c r="A39" s="275"/>
      <c r="B39" s="276" t="s">
        <v>1287</v>
      </c>
      <c r="C39" s="30">
        <v>15</v>
      </c>
      <c r="D39" s="31">
        <v>20</v>
      </c>
      <c r="E39" s="30">
        <v>180</v>
      </c>
      <c r="F39" s="31">
        <v>24.5</v>
      </c>
      <c r="G39" s="32" t="s">
        <v>30</v>
      </c>
      <c r="H39" s="278"/>
      <c r="I39" s="277">
        <v>2124.3395241600001</v>
      </c>
      <c r="J39" s="30" t="s">
        <v>24</v>
      </c>
      <c r="K39" s="34">
        <v>2900</v>
      </c>
      <c r="L39" s="34" t="s">
        <v>1258</v>
      </c>
      <c r="M39" s="279" t="s">
        <v>1258</v>
      </c>
    </row>
    <row r="40" spans="1:16" s="272" customFormat="1" ht="15.75" thickBot="1" x14ac:dyDescent="0.3">
      <c r="A40" s="275"/>
      <c r="B40" s="276" t="s">
        <v>1288</v>
      </c>
      <c r="C40" s="30">
        <v>18.5</v>
      </c>
      <c r="D40" s="31">
        <v>25</v>
      </c>
      <c r="E40" s="30">
        <v>180</v>
      </c>
      <c r="F40" s="31">
        <v>29</v>
      </c>
      <c r="G40" s="32" t="s">
        <v>30</v>
      </c>
      <c r="H40" s="278"/>
      <c r="I40" s="277">
        <v>2425.4564691840001</v>
      </c>
      <c r="J40" s="30" t="s">
        <v>24</v>
      </c>
      <c r="K40" s="34">
        <v>2900</v>
      </c>
      <c r="L40" s="34" t="s">
        <v>1258</v>
      </c>
      <c r="M40" s="279" t="s">
        <v>1258</v>
      </c>
    </row>
    <row r="41" spans="1:16" s="272" customFormat="1" ht="15.75" thickBot="1" x14ac:dyDescent="0.3">
      <c r="A41" s="275"/>
      <c r="B41" s="276" t="s">
        <v>1289</v>
      </c>
      <c r="C41" s="30">
        <v>22</v>
      </c>
      <c r="D41" s="31">
        <v>30</v>
      </c>
      <c r="E41" s="30">
        <v>180</v>
      </c>
      <c r="F41" s="31">
        <v>31.5</v>
      </c>
      <c r="G41" s="32" t="s">
        <v>30</v>
      </c>
      <c r="H41" s="278"/>
      <c r="I41" s="277">
        <v>2585.6781148800001</v>
      </c>
      <c r="J41" s="30" t="s">
        <v>24</v>
      </c>
      <c r="K41" s="34">
        <v>2900</v>
      </c>
      <c r="L41" s="34" t="s">
        <v>1258</v>
      </c>
      <c r="M41" s="279" t="s">
        <v>1258</v>
      </c>
    </row>
    <row r="42" spans="1:16" s="272" customFormat="1" ht="15.75" thickBot="1" x14ac:dyDescent="0.3">
      <c r="A42" s="275"/>
      <c r="B42" s="276" t="s">
        <v>1290</v>
      </c>
      <c r="C42" s="30">
        <v>22</v>
      </c>
      <c r="D42" s="31">
        <v>30</v>
      </c>
      <c r="E42" s="30">
        <v>200</v>
      </c>
      <c r="F42" s="31">
        <v>26.8</v>
      </c>
      <c r="G42" s="32" t="s">
        <v>30</v>
      </c>
      <c r="H42" s="278"/>
      <c r="I42" s="277">
        <v>2628.3831060480002</v>
      </c>
      <c r="J42" s="30" t="s">
        <v>24</v>
      </c>
      <c r="K42" s="34">
        <v>2900</v>
      </c>
      <c r="L42" s="34" t="s">
        <v>1258</v>
      </c>
      <c r="M42" s="279" t="s">
        <v>1258</v>
      </c>
    </row>
    <row r="43" spans="1:16" s="272" customFormat="1" ht="15.75" thickBot="1" x14ac:dyDescent="0.3">
      <c r="A43" s="275"/>
      <c r="B43" s="276" t="s">
        <v>1291</v>
      </c>
      <c r="C43" s="30">
        <v>30</v>
      </c>
      <c r="D43" s="31">
        <v>40</v>
      </c>
      <c r="E43" s="30">
        <v>200</v>
      </c>
      <c r="F43" s="31">
        <v>34.200000000000003</v>
      </c>
      <c r="G43" s="32" t="s">
        <v>30</v>
      </c>
      <c r="H43" s="278"/>
      <c r="I43" s="277">
        <v>3345.0164979839997</v>
      </c>
      <c r="J43" s="30" t="s">
        <v>24</v>
      </c>
      <c r="K43" s="34">
        <v>2900</v>
      </c>
      <c r="L43" s="34" t="s">
        <v>1258</v>
      </c>
      <c r="M43" s="279" t="s">
        <v>1258</v>
      </c>
    </row>
    <row r="44" spans="1:16" s="272" customFormat="1" ht="15.75" thickBot="1" x14ac:dyDescent="0.3">
      <c r="A44" s="275"/>
      <c r="B44" s="276" t="s">
        <v>1292</v>
      </c>
      <c r="C44" s="30">
        <v>37</v>
      </c>
      <c r="D44" s="31">
        <v>50</v>
      </c>
      <c r="E44" s="30">
        <v>200</v>
      </c>
      <c r="F44" s="31">
        <v>45</v>
      </c>
      <c r="G44" s="32" t="s">
        <v>30</v>
      </c>
      <c r="H44" s="278"/>
      <c r="I44" s="277">
        <v>3787.0287423360005</v>
      </c>
      <c r="J44" s="30" t="s">
        <v>24</v>
      </c>
      <c r="K44" s="34">
        <v>2900</v>
      </c>
      <c r="L44" s="34" t="s">
        <v>1258</v>
      </c>
      <c r="M44" s="279" t="s">
        <v>1258</v>
      </c>
    </row>
    <row r="45" spans="1:16" s="272" customFormat="1" ht="15.75" thickBot="1" x14ac:dyDescent="0.3">
      <c r="A45" s="275"/>
      <c r="B45" s="276" t="s">
        <v>1293</v>
      </c>
      <c r="C45" s="30">
        <v>45</v>
      </c>
      <c r="D45" s="31">
        <v>60</v>
      </c>
      <c r="E45" s="30">
        <v>200</v>
      </c>
      <c r="F45" s="31">
        <v>56</v>
      </c>
      <c r="G45" s="32" t="s">
        <v>30</v>
      </c>
      <c r="H45" s="278"/>
      <c r="I45" s="277">
        <v>4909.5154080000002</v>
      </c>
      <c r="J45" s="30" t="s">
        <v>24</v>
      </c>
      <c r="K45" s="34">
        <v>2900</v>
      </c>
      <c r="L45" s="34" t="s">
        <v>1258</v>
      </c>
      <c r="M45" s="279" t="s">
        <v>1258</v>
      </c>
    </row>
    <row r="46" spans="1:16" s="272" customFormat="1" ht="15.75" thickBot="1" x14ac:dyDescent="0.3">
      <c r="A46" s="275"/>
      <c r="B46" s="276" t="s">
        <v>1294</v>
      </c>
      <c r="C46" s="30">
        <v>45</v>
      </c>
      <c r="D46" s="31">
        <v>60</v>
      </c>
      <c r="E46" s="30">
        <v>300</v>
      </c>
      <c r="F46" s="31">
        <v>34</v>
      </c>
      <c r="G46" s="32" t="s">
        <v>30</v>
      </c>
      <c r="H46" s="278"/>
      <c r="I46" s="277">
        <v>4958.7664197120002</v>
      </c>
      <c r="J46" s="30" t="s">
        <v>24</v>
      </c>
      <c r="K46" s="34">
        <v>2900</v>
      </c>
      <c r="L46" s="34" t="s">
        <v>1258</v>
      </c>
      <c r="M46" s="279" t="s">
        <v>1258</v>
      </c>
    </row>
    <row r="47" spans="1:16" s="271" customFormat="1" ht="8.25" customHeight="1" thickBot="1" x14ac:dyDescent="0.3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6" s="271" customFormat="1" ht="15" customHeight="1" x14ac:dyDescent="0.25">
      <c r="B48" s="180" t="s">
        <v>32</v>
      </c>
      <c r="C48" s="45" t="s">
        <v>33</v>
      </c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7"/>
    </row>
    <row r="49" spans="2:15" s="271" customFormat="1" ht="15" customHeight="1" x14ac:dyDescent="0.25">
      <c r="B49" s="181" t="s">
        <v>308</v>
      </c>
      <c r="C49" s="50" t="s">
        <v>701</v>
      </c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2:15" s="271" customFormat="1" ht="15" customHeight="1" x14ac:dyDescent="0.25">
      <c r="B50" s="181" t="s">
        <v>702</v>
      </c>
      <c r="C50" s="50" t="s">
        <v>703</v>
      </c>
      <c r="D50" s="5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2:15" s="271" customFormat="1" ht="15" customHeight="1" x14ac:dyDescent="0.25">
      <c r="B51" s="181" t="s">
        <v>704</v>
      </c>
      <c r="C51" s="208" t="s">
        <v>705</v>
      </c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2:15" s="271" customFormat="1" ht="15" customHeight="1" x14ac:dyDescent="0.25">
      <c r="B52" s="205" t="s">
        <v>59</v>
      </c>
      <c r="C52" s="323" t="s">
        <v>60</v>
      </c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</row>
  </sheetData>
  <mergeCells count="8">
    <mergeCell ref="C52:O52"/>
    <mergeCell ref="B8:B10"/>
    <mergeCell ref="E8:F9"/>
    <mergeCell ref="J8:J10"/>
    <mergeCell ref="K8:K9"/>
    <mergeCell ref="C8:D9"/>
    <mergeCell ref="H8:I8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P12" sqref="P12"/>
    </sheetView>
  </sheetViews>
  <sheetFormatPr defaultRowHeight="15" x14ac:dyDescent="0.25"/>
  <cols>
    <col min="1" max="1" width="34.28515625" style="153" customWidth="1"/>
    <col min="2" max="2" width="28.5703125" style="153" customWidth="1"/>
    <col min="3" max="4" width="12" style="153" customWidth="1"/>
    <col min="5" max="6" width="8.5703125" style="153" customWidth="1"/>
    <col min="7" max="7" width="10.28515625" style="153" customWidth="1"/>
    <col min="8" max="8" width="14.28515625" style="153" customWidth="1"/>
    <col min="9" max="9" width="10.85546875" style="153" customWidth="1"/>
    <col min="10" max="10" width="14.28515625" style="153" customWidth="1"/>
    <col min="11" max="11" width="10.85546875" style="153" customWidth="1"/>
    <col min="12" max="13" width="5.42578125" style="153" customWidth="1"/>
    <col min="14" max="15" width="10.28515625" style="153" customWidth="1"/>
    <col min="16" max="16" width="9.140625" style="123"/>
    <col min="17" max="17" width="10.140625" style="123" customWidth="1"/>
    <col min="18" max="258" width="9.140625" style="123"/>
    <col min="259" max="259" width="34.28515625" style="123" customWidth="1"/>
    <col min="260" max="260" width="25.7109375" style="123" customWidth="1"/>
    <col min="261" max="262" width="12" style="123" customWidth="1"/>
    <col min="263" max="264" width="8.5703125" style="123" customWidth="1"/>
    <col min="265" max="265" width="10.28515625" style="123" customWidth="1"/>
    <col min="266" max="267" width="10.85546875" style="123" customWidth="1"/>
    <col min="268" max="271" width="10.28515625" style="123" customWidth="1"/>
    <col min="272" max="272" width="9.140625" style="123"/>
    <col min="273" max="273" width="10.140625" style="123" customWidth="1"/>
    <col min="274" max="514" width="9.140625" style="123"/>
    <col min="515" max="515" width="34.28515625" style="123" customWidth="1"/>
    <col min="516" max="516" width="25.7109375" style="123" customWidth="1"/>
    <col min="517" max="518" width="12" style="123" customWidth="1"/>
    <col min="519" max="520" width="8.5703125" style="123" customWidth="1"/>
    <col min="521" max="521" width="10.28515625" style="123" customWidth="1"/>
    <col min="522" max="523" width="10.85546875" style="123" customWidth="1"/>
    <col min="524" max="527" width="10.28515625" style="123" customWidth="1"/>
    <col min="528" max="528" width="9.140625" style="123"/>
    <col min="529" max="529" width="10.140625" style="123" customWidth="1"/>
    <col min="530" max="770" width="9.140625" style="123"/>
    <col min="771" max="771" width="34.28515625" style="123" customWidth="1"/>
    <col min="772" max="772" width="25.7109375" style="123" customWidth="1"/>
    <col min="773" max="774" width="12" style="123" customWidth="1"/>
    <col min="775" max="776" width="8.5703125" style="123" customWidth="1"/>
    <col min="777" max="777" width="10.28515625" style="123" customWidth="1"/>
    <col min="778" max="779" width="10.85546875" style="123" customWidth="1"/>
    <col min="780" max="783" width="10.28515625" style="123" customWidth="1"/>
    <col min="784" max="784" width="9.140625" style="123"/>
    <col min="785" max="785" width="10.14062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0" width="12" style="123" customWidth="1"/>
    <col min="1031" max="1032" width="8.5703125" style="123" customWidth="1"/>
    <col min="1033" max="1033" width="10.28515625" style="123" customWidth="1"/>
    <col min="1034" max="1035" width="10.85546875" style="123" customWidth="1"/>
    <col min="1036" max="1039" width="10.28515625" style="123" customWidth="1"/>
    <col min="1040" max="1040" width="9.140625" style="123"/>
    <col min="1041" max="1041" width="10.14062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86" width="12" style="123" customWidth="1"/>
    <col min="1287" max="1288" width="8.5703125" style="123" customWidth="1"/>
    <col min="1289" max="1289" width="10.28515625" style="123" customWidth="1"/>
    <col min="1290" max="1291" width="10.85546875" style="123" customWidth="1"/>
    <col min="1292" max="1295" width="10.28515625" style="123" customWidth="1"/>
    <col min="1296" max="1296" width="9.140625" style="123"/>
    <col min="1297" max="1297" width="10.14062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2" width="12" style="123" customWidth="1"/>
    <col min="1543" max="1544" width="8.5703125" style="123" customWidth="1"/>
    <col min="1545" max="1545" width="10.28515625" style="123" customWidth="1"/>
    <col min="1546" max="1547" width="10.85546875" style="123" customWidth="1"/>
    <col min="1548" max="1551" width="10.28515625" style="123" customWidth="1"/>
    <col min="1552" max="1552" width="9.140625" style="123"/>
    <col min="1553" max="1553" width="10.14062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798" width="12" style="123" customWidth="1"/>
    <col min="1799" max="1800" width="8.5703125" style="123" customWidth="1"/>
    <col min="1801" max="1801" width="10.28515625" style="123" customWidth="1"/>
    <col min="1802" max="1803" width="10.85546875" style="123" customWidth="1"/>
    <col min="1804" max="1807" width="10.28515625" style="123" customWidth="1"/>
    <col min="1808" max="1808" width="9.140625" style="123"/>
    <col min="1809" max="1809" width="10.14062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4" width="12" style="123" customWidth="1"/>
    <col min="2055" max="2056" width="8.5703125" style="123" customWidth="1"/>
    <col min="2057" max="2057" width="10.28515625" style="123" customWidth="1"/>
    <col min="2058" max="2059" width="10.85546875" style="123" customWidth="1"/>
    <col min="2060" max="2063" width="10.28515625" style="123" customWidth="1"/>
    <col min="2064" max="2064" width="9.140625" style="123"/>
    <col min="2065" max="2065" width="10.14062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0" width="12" style="123" customWidth="1"/>
    <col min="2311" max="2312" width="8.5703125" style="123" customWidth="1"/>
    <col min="2313" max="2313" width="10.28515625" style="123" customWidth="1"/>
    <col min="2314" max="2315" width="10.85546875" style="123" customWidth="1"/>
    <col min="2316" max="2319" width="10.28515625" style="123" customWidth="1"/>
    <col min="2320" max="2320" width="9.140625" style="123"/>
    <col min="2321" max="2321" width="10.14062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66" width="12" style="123" customWidth="1"/>
    <col min="2567" max="2568" width="8.5703125" style="123" customWidth="1"/>
    <col min="2569" max="2569" width="10.28515625" style="123" customWidth="1"/>
    <col min="2570" max="2571" width="10.85546875" style="123" customWidth="1"/>
    <col min="2572" max="2575" width="10.28515625" style="123" customWidth="1"/>
    <col min="2576" max="2576" width="9.140625" style="123"/>
    <col min="2577" max="2577" width="10.14062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2" width="12" style="123" customWidth="1"/>
    <col min="2823" max="2824" width="8.5703125" style="123" customWidth="1"/>
    <col min="2825" max="2825" width="10.28515625" style="123" customWidth="1"/>
    <col min="2826" max="2827" width="10.85546875" style="123" customWidth="1"/>
    <col min="2828" max="2831" width="10.28515625" style="123" customWidth="1"/>
    <col min="2832" max="2832" width="9.140625" style="123"/>
    <col min="2833" max="2833" width="10.14062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78" width="12" style="123" customWidth="1"/>
    <col min="3079" max="3080" width="8.5703125" style="123" customWidth="1"/>
    <col min="3081" max="3081" width="10.28515625" style="123" customWidth="1"/>
    <col min="3082" max="3083" width="10.85546875" style="123" customWidth="1"/>
    <col min="3084" max="3087" width="10.28515625" style="123" customWidth="1"/>
    <col min="3088" max="3088" width="9.140625" style="123"/>
    <col min="3089" max="3089" width="10.14062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4" width="12" style="123" customWidth="1"/>
    <col min="3335" max="3336" width="8.5703125" style="123" customWidth="1"/>
    <col min="3337" max="3337" width="10.28515625" style="123" customWidth="1"/>
    <col min="3338" max="3339" width="10.85546875" style="123" customWidth="1"/>
    <col min="3340" max="3343" width="10.28515625" style="123" customWidth="1"/>
    <col min="3344" max="3344" width="9.140625" style="123"/>
    <col min="3345" max="3345" width="10.14062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0" width="12" style="123" customWidth="1"/>
    <col min="3591" max="3592" width="8.5703125" style="123" customWidth="1"/>
    <col min="3593" max="3593" width="10.28515625" style="123" customWidth="1"/>
    <col min="3594" max="3595" width="10.85546875" style="123" customWidth="1"/>
    <col min="3596" max="3599" width="10.28515625" style="123" customWidth="1"/>
    <col min="3600" max="3600" width="9.140625" style="123"/>
    <col min="3601" max="3601" width="10.14062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46" width="12" style="123" customWidth="1"/>
    <col min="3847" max="3848" width="8.5703125" style="123" customWidth="1"/>
    <col min="3849" max="3849" width="10.28515625" style="123" customWidth="1"/>
    <col min="3850" max="3851" width="10.85546875" style="123" customWidth="1"/>
    <col min="3852" max="3855" width="10.28515625" style="123" customWidth="1"/>
    <col min="3856" max="3856" width="9.140625" style="123"/>
    <col min="3857" max="3857" width="10.14062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2" width="12" style="123" customWidth="1"/>
    <col min="4103" max="4104" width="8.5703125" style="123" customWidth="1"/>
    <col min="4105" max="4105" width="10.28515625" style="123" customWidth="1"/>
    <col min="4106" max="4107" width="10.85546875" style="123" customWidth="1"/>
    <col min="4108" max="4111" width="10.28515625" style="123" customWidth="1"/>
    <col min="4112" max="4112" width="9.140625" style="123"/>
    <col min="4113" max="4113" width="10.14062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58" width="12" style="123" customWidth="1"/>
    <col min="4359" max="4360" width="8.5703125" style="123" customWidth="1"/>
    <col min="4361" max="4361" width="10.28515625" style="123" customWidth="1"/>
    <col min="4362" max="4363" width="10.85546875" style="123" customWidth="1"/>
    <col min="4364" max="4367" width="10.28515625" style="123" customWidth="1"/>
    <col min="4368" max="4368" width="9.140625" style="123"/>
    <col min="4369" max="4369" width="10.14062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4" width="12" style="123" customWidth="1"/>
    <col min="4615" max="4616" width="8.5703125" style="123" customWidth="1"/>
    <col min="4617" max="4617" width="10.28515625" style="123" customWidth="1"/>
    <col min="4618" max="4619" width="10.85546875" style="123" customWidth="1"/>
    <col min="4620" max="4623" width="10.28515625" style="123" customWidth="1"/>
    <col min="4624" max="4624" width="9.140625" style="123"/>
    <col min="4625" max="4625" width="10.14062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0" width="12" style="123" customWidth="1"/>
    <col min="4871" max="4872" width="8.5703125" style="123" customWidth="1"/>
    <col min="4873" max="4873" width="10.28515625" style="123" customWidth="1"/>
    <col min="4874" max="4875" width="10.85546875" style="123" customWidth="1"/>
    <col min="4876" max="4879" width="10.28515625" style="123" customWidth="1"/>
    <col min="4880" max="4880" width="9.140625" style="123"/>
    <col min="4881" max="4881" width="10.14062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26" width="12" style="123" customWidth="1"/>
    <col min="5127" max="5128" width="8.5703125" style="123" customWidth="1"/>
    <col min="5129" max="5129" width="10.28515625" style="123" customWidth="1"/>
    <col min="5130" max="5131" width="10.85546875" style="123" customWidth="1"/>
    <col min="5132" max="5135" width="10.28515625" style="123" customWidth="1"/>
    <col min="5136" max="5136" width="9.140625" style="123"/>
    <col min="5137" max="5137" width="10.14062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2" width="12" style="123" customWidth="1"/>
    <col min="5383" max="5384" width="8.5703125" style="123" customWidth="1"/>
    <col min="5385" max="5385" width="10.28515625" style="123" customWidth="1"/>
    <col min="5386" max="5387" width="10.85546875" style="123" customWidth="1"/>
    <col min="5388" max="5391" width="10.28515625" style="123" customWidth="1"/>
    <col min="5392" max="5392" width="9.140625" style="123"/>
    <col min="5393" max="5393" width="10.14062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38" width="12" style="123" customWidth="1"/>
    <col min="5639" max="5640" width="8.5703125" style="123" customWidth="1"/>
    <col min="5641" max="5641" width="10.28515625" style="123" customWidth="1"/>
    <col min="5642" max="5643" width="10.85546875" style="123" customWidth="1"/>
    <col min="5644" max="5647" width="10.28515625" style="123" customWidth="1"/>
    <col min="5648" max="5648" width="9.140625" style="123"/>
    <col min="5649" max="5649" width="10.14062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4" width="12" style="123" customWidth="1"/>
    <col min="5895" max="5896" width="8.5703125" style="123" customWidth="1"/>
    <col min="5897" max="5897" width="10.28515625" style="123" customWidth="1"/>
    <col min="5898" max="5899" width="10.85546875" style="123" customWidth="1"/>
    <col min="5900" max="5903" width="10.28515625" style="123" customWidth="1"/>
    <col min="5904" max="5904" width="9.140625" style="123"/>
    <col min="5905" max="5905" width="10.14062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0" width="12" style="123" customWidth="1"/>
    <col min="6151" max="6152" width="8.5703125" style="123" customWidth="1"/>
    <col min="6153" max="6153" width="10.28515625" style="123" customWidth="1"/>
    <col min="6154" max="6155" width="10.85546875" style="123" customWidth="1"/>
    <col min="6156" max="6159" width="10.28515625" style="123" customWidth="1"/>
    <col min="6160" max="6160" width="9.140625" style="123"/>
    <col min="6161" max="6161" width="10.14062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06" width="12" style="123" customWidth="1"/>
    <col min="6407" max="6408" width="8.5703125" style="123" customWidth="1"/>
    <col min="6409" max="6409" width="10.28515625" style="123" customWidth="1"/>
    <col min="6410" max="6411" width="10.85546875" style="123" customWidth="1"/>
    <col min="6412" max="6415" width="10.28515625" style="123" customWidth="1"/>
    <col min="6416" max="6416" width="9.140625" style="123"/>
    <col min="6417" max="6417" width="10.14062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2" width="12" style="123" customWidth="1"/>
    <col min="6663" max="6664" width="8.5703125" style="123" customWidth="1"/>
    <col min="6665" max="6665" width="10.28515625" style="123" customWidth="1"/>
    <col min="6666" max="6667" width="10.85546875" style="123" customWidth="1"/>
    <col min="6668" max="6671" width="10.28515625" style="123" customWidth="1"/>
    <col min="6672" max="6672" width="9.140625" style="123"/>
    <col min="6673" max="6673" width="10.14062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18" width="12" style="123" customWidth="1"/>
    <col min="6919" max="6920" width="8.5703125" style="123" customWidth="1"/>
    <col min="6921" max="6921" width="10.28515625" style="123" customWidth="1"/>
    <col min="6922" max="6923" width="10.85546875" style="123" customWidth="1"/>
    <col min="6924" max="6927" width="10.28515625" style="123" customWidth="1"/>
    <col min="6928" max="6928" width="9.140625" style="123"/>
    <col min="6929" max="6929" width="10.14062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4" width="12" style="123" customWidth="1"/>
    <col min="7175" max="7176" width="8.5703125" style="123" customWidth="1"/>
    <col min="7177" max="7177" width="10.28515625" style="123" customWidth="1"/>
    <col min="7178" max="7179" width="10.85546875" style="123" customWidth="1"/>
    <col min="7180" max="7183" width="10.28515625" style="123" customWidth="1"/>
    <col min="7184" max="7184" width="9.140625" style="123"/>
    <col min="7185" max="7185" width="10.14062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0" width="12" style="123" customWidth="1"/>
    <col min="7431" max="7432" width="8.5703125" style="123" customWidth="1"/>
    <col min="7433" max="7433" width="10.28515625" style="123" customWidth="1"/>
    <col min="7434" max="7435" width="10.85546875" style="123" customWidth="1"/>
    <col min="7436" max="7439" width="10.28515625" style="123" customWidth="1"/>
    <col min="7440" max="7440" width="9.140625" style="123"/>
    <col min="7441" max="7441" width="10.14062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86" width="12" style="123" customWidth="1"/>
    <col min="7687" max="7688" width="8.5703125" style="123" customWidth="1"/>
    <col min="7689" max="7689" width="10.28515625" style="123" customWidth="1"/>
    <col min="7690" max="7691" width="10.85546875" style="123" customWidth="1"/>
    <col min="7692" max="7695" width="10.28515625" style="123" customWidth="1"/>
    <col min="7696" max="7696" width="9.140625" style="123"/>
    <col min="7697" max="7697" width="10.14062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2" width="12" style="123" customWidth="1"/>
    <col min="7943" max="7944" width="8.5703125" style="123" customWidth="1"/>
    <col min="7945" max="7945" width="10.28515625" style="123" customWidth="1"/>
    <col min="7946" max="7947" width="10.85546875" style="123" customWidth="1"/>
    <col min="7948" max="7951" width="10.28515625" style="123" customWidth="1"/>
    <col min="7952" max="7952" width="9.140625" style="123"/>
    <col min="7953" max="7953" width="10.14062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198" width="12" style="123" customWidth="1"/>
    <col min="8199" max="8200" width="8.5703125" style="123" customWidth="1"/>
    <col min="8201" max="8201" width="10.28515625" style="123" customWidth="1"/>
    <col min="8202" max="8203" width="10.85546875" style="123" customWidth="1"/>
    <col min="8204" max="8207" width="10.28515625" style="123" customWidth="1"/>
    <col min="8208" max="8208" width="9.140625" style="123"/>
    <col min="8209" max="8209" width="10.14062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4" width="12" style="123" customWidth="1"/>
    <col min="8455" max="8456" width="8.5703125" style="123" customWidth="1"/>
    <col min="8457" max="8457" width="10.28515625" style="123" customWidth="1"/>
    <col min="8458" max="8459" width="10.85546875" style="123" customWidth="1"/>
    <col min="8460" max="8463" width="10.28515625" style="123" customWidth="1"/>
    <col min="8464" max="8464" width="9.140625" style="123"/>
    <col min="8465" max="8465" width="10.14062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0" width="12" style="123" customWidth="1"/>
    <col min="8711" max="8712" width="8.5703125" style="123" customWidth="1"/>
    <col min="8713" max="8713" width="10.28515625" style="123" customWidth="1"/>
    <col min="8714" max="8715" width="10.85546875" style="123" customWidth="1"/>
    <col min="8716" max="8719" width="10.28515625" style="123" customWidth="1"/>
    <col min="8720" max="8720" width="9.140625" style="123"/>
    <col min="8721" max="8721" width="10.14062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66" width="12" style="123" customWidth="1"/>
    <col min="8967" max="8968" width="8.5703125" style="123" customWidth="1"/>
    <col min="8969" max="8969" width="10.28515625" style="123" customWidth="1"/>
    <col min="8970" max="8971" width="10.85546875" style="123" customWidth="1"/>
    <col min="8972" max="8975" width="10.28515625" style="123" customWidth="1"/>
    <col min="8976" max="8976" width="9.140625" style="123"/>
    <col min="8977" max="8977" width="10.14062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2" width="12" style="123" customWidth="1"/>
    <col min="9223" max="9224" width="8.5703125" style="123" customWidth="1"/>
    <col min="9225" max="9225" width="10.28515625" style="123" customWidth="1"/>
    <col min="9226" max="9227" width="10.85546875" style="123" customWidth="1"/>
    <col min="9228" max="9231" width="10.28515625" style="123" customWidth="1"/>
    <col min="9232" max="9232" width="9.140625" style="123"/>
    <col min="9233" max="9233" width="10.14062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78" width="12" style="123" customWidth="1"/>
    <col min="9479" max="9480" width="8.5703125" style="123" customWidth="1"/>
    <col min="9481" max="9481" width="10.28515625" style="123" customWidth="1"/>
    <col min="9482" max="9483" width="10.85546875" style="123" customWidth="1"/>
    <col min="9484" max="9487" width="10.28515625" style="123" customWidth="1"/>
    <col min="9488" max="9488" width="9.140625" style="123"/>
    <col min="9489" max="9489" width="10.14062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4" width="12" style="123" customWidth="1"/>
    <col min="9735" max="9736" width="8.5703125" style="123" customWidth="1"/>
    <col min="9737" max="9737" width="10.28515625" style="123" customWidth="1"/>
    <col min="9738" max="9739" width="10.85546875" style="123" customWidth="1"/>
    <col min="9740" max="9743" width="10.28515625" style="123" customWidth="1"/>
    <col min="9744" max="9744" width="9.140625" style="123"/>
    <col min="9745" max="9745" width="10.14062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0" width="12" style="123" customWidth="1"/>
    <col min="9991" max="9992" width="8.5703125" style="123" customWidth="1"/>
    <col min="9993" max="9993" width="10.28515625" style="123" customWidth="1"/>
    <col min="9994" max="9995" width="10.85546875" style="123" customWidth="1"/>
    <col min="9996" max="9999" width="10.28515625" style="123" customWidth="1"/>
    <col min="10000" max="10000" width="9.140625" style="123"/>
    <col min="10001" max="10001" width="10.14062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46" width="12" style="123" customWidth="1"/>
    <col min="10247" max="10248" width="8.5703125" style="123" customWidth="1"/>
    <col min="10249" max="10249" width="10.28515625" style="123" customWidth="1"/>
    <col min="10250" max="10251" width="10.85546875" style="123" customWidth="1"/>
    <col min="10252" max="10255" width="10.28515625" style="123" customWidth="1"/>
    <col min="10256" max="10256" width="9.140625" style="123"/>
    <col min="10257" max="10257" width="10.14062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2" width="12" style="123" customWidth="1"/>
    <col min="10503" max="10504" width="8.5703125" style="123" customWidth="1"/>
    <col min="10505" max="10505" width="10.28515625" style="123" customWidth="1"/>
    <col min="10506" max="10507" width="10.85546875" style="123" customWidth="1"/>
    <col min="10508" max="10511" width="10.28515625" style="123" customWidth="1"/>
    <col min="10512" max="10512" width="9.140625" style="123"/>
    <col min="10513" max="10513" width="10.14062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58" width="12" style="123" customWidth="1"/>
    <col min="10759" max="10760" width="8.5703125" style="123" customWidth="1"/>
    <col min="10761" max="10761" width="10.28515625" style="123" customWidth="1"/>
    <col min="10762" max="10763" width="10.85546875" style="123" customWidth="1"/>
    <col min="10764" max="10767" width="10.28515625" style="123" customWidth="1"/>
    <col min="10768" max="10768" width="9.140625" style="123"/>
    <col min="10769" max="10769" width="10.14062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4" width="12" style="123" customWidth="1"/>
    <col min="11015" max="11016" width="8.5703125" style="123" customWidth="1"/>
    <col min="11017" max="11017" width="10.28515625" style="123" customWidth="1"/>
    <col min="11018" max="11019" width="10.85546875" style="123" customWidth="1"/>
    <col min="11020" max="11023" width="10.28515625" style="123" customWidth="1"/>
    <col min="11024" max="11024" width="9.140625" style="123"/>
    <col min="11025" max="11025" width="10.14062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0" width="12" style="123" customWidth="1"/>
    <col min="11271" max="11272" width="8.5703125" style="123" customWidth="1"/>
    <col min="11273" max="11273" width="10.28515625" style="123" customWidth="1"/>
    <col min="11274" max="11275" width="10.85546875" style="123" customWidth="1"/>
    <col min="11276" max="11279" width="10.28515625" style="123" customWidth="1"/>
    <col min="11280" max="11280" width="9.140625" style="123"/>
    <col min="11281" max="11281" width="10.14062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26" width="12" style="123" customWidth="1"/>
    <col min="11527" max="11528" width="8.5703125" style="123" customWidth="1"/>
    <col min="11529" max="11529" width="10.28515625" style="123" customWidth="1"/>
    <col min="11530" max="11531" width="10.85546875" style="123" customWidth="1"/>
    <col min="11532" max="11535" width="10.28515625" style="123" customWidth="1"/>
    <col min="11536" max="11536" width="9.140625" style="123"/>
    <col min="11537" max="11537" width="10.14062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2" width="12" style="123" customWidth="1"/>
    <col min="11783" max="11784" width="8.5703125" style="123" customWidth="1"/>
    <col min="11785" max="11785" width="10.28515625" style="123" customWidth="1"/>
    <col min="11786" max="11787" width="10.85546875" style="123" customWidth="1"/>
    <col min="11788" max="11791" width="10.28515625" style="123" customWidth="1"/>
    <col min="11792" max="11792" width="9.140625" style="123"/>
    <col min="11793" max="11793" width="10.14062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38" width="12" style="123" customWidth="1"/>
    <col min="12039" max="12040" width="8.5703125" style="123" customWidth="1"/>
    <col min="12041" max="12041" width="10.28515625" style="123" customWidth="1"/>
    <col min="12042" max="12043" width="10.85546875" style="123" customWidth="1"/>
    <col min="12044" max="12047" width="10.28515625" style="123" customWidth="1"/>
    <col min="12048" max="12048" width="9.140625" style="123"/>
    <col min="12049" max="12049" width="10.14062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4" width="12" style="123" customWidth="1"/>
    <col min="12295" max="12296" width="8.5703125" style="123" customWidth="1"/>
    <col min="12297" max="12297" width="10.28515625" style="123" customWidth="1"/>
    <col min="12298" max="12299" width="10.85546875" style="123" customWidth="1"/>
    <col min="12300" max="12303" width="10.28515625" style="123" customWidth="1"/>
    <col min="12304" max="12304" width="9.140625" style="123"/>
    <col min="12305" max="12305" width="10.14062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0" width="12" style="123" customWidth="1"/>
    <col min="12551" max="12552" width="8.5703125" style="123" customWidth="1"/>
    <col min="12553" max="12553" width="10.28515625" style="123" customWidth="1"/>
    <col min="12554" max="12555" width="10.85546875" style="123" customWidth="1"/>
    <col min="12556" max="12559" width="10.28515625" style="123" customWidth="1"/>
    <col min="12560" max="12560" width="9.140625" style="123"/>
    <col min="12561" max="12561" width="10.14062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06" width="12" style="123" customWidth="1"/>
    <col min="12807" max="12808" width="8.5703125" style="123" customWidth="1"/>
    <col min="12809" max="12809" width="10.28515625" style="123" customWidth="1"/>
    <col min="12810" max="12811" width="10.85546875" style="123" customWidth="1"/>
    <col min="12812" max="12815" width="10.28515625" style="123" customWidth="1"/>
    <col min="12816" max="12816" width="9.140625" style="123"/>
    <col min="12817" max="12817" width="10.14062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2" width="12" style="123" customWidth="1"/>
    <col min="13063" max="13064" width="8.5703125" style="123" customWidth="1"/>
    <col min="13065" max="13065" width="10.28515625" style="123" customWidth="1"/>
    <col min="13066" max="13067" width="10.85546875" style="123" customWidth="1"/>
    <col min="13068" max="13071" width="10.28515625" style="123" customWidth="1"/>
    <col min="13072" max="13072" width="9.140625" style="123"/>
    <col min="13073" max="13073" width="10.14062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18" width="12" style="123" customWidth="1"/>
    <col min="13319" max="13320" width="8.5703125" style="123" customWidth="1"/>
    <col min="13321" max="13321" width="10.28515625" style="123" customWidth="1"/>
    <col min="13322" max="13323" width="10.85546875" style="123" customWidth="1"/>
    <col min="13324" max="13327" width="10.28515625" style="123" customWidth="1"/>
    <col min="13328" max="13328" width="9.140625" style="123"/>
    <col min="13329" max="13329" width="10.14062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4" width="12" style="123" customWidth="1"/>
    <col min="13575" max="13576" width="8.5703125" style="123" customWidth="1"/>
    <col min="13577" max="13577" width="10.28515625" style="123" customWidth="1"/>
    <col min="13578" max="13579" width="10.85546875" style="123" customWidth="1"/>
    <col min="13580" max="13583" width="10.28515625" style="123" customWidth="1"/>
    <col min="13584" max="13584" width="9.140625" style="123"/>
    <col min="13585" max="13585" width="10.14062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0" width="12" style="123" customWidth="1"/>
    <col min="13831" max="13832" width="8.5703125" style="123" customWidth="1"/>
    <col min="13833" max="13833" width="10.28515625" style="123" customWidth="1"/>
    <col min="13834" max="13835" width="10.85546875" style="123" customWidth="1"/>
    <col min="13836" max="13839" width="10.28515625" style="123" customWidth="1"/>
    <col min="13840" max="13840" width="9.140625" style="123"/>
    <col min="13841" max="13841" width="10.14062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86" width="12" style="123" customWidth="1"/>
    <col min="14087" max="14088" width="8.5703125" style="123" customWidth="1"/>
    <col min="14089" max="14089" width="10.28515625" style="123" customWidth="1"/>
    <col min="14090" max="14091" width="10.85546875" style="123" customWidth="1"/>
    <col min="14092" max="14095" width="10.28515625" style="123" customWidth="1"/>
    <col min="14096" max="14096" width="9.140625" style="123"/>
    <col min="14097" max="14097" width="10.14062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2" width="12" style="123" customWidth="1"/>
    <col min="14343" max="14344" width="8.5703125" style="123" customWidth="1"/>
    <col min="14345" max="14345" width="10.28515625" style="123" customWidth="1"/>
    <col min="14346" max="14347" width="10.85546875" style="123" customWidth="1"/>
    <col min="14348" max="14351" width="10.28515625" style="123" customWidth="1"/>
    <col min="14352" max="14352" width="9.140625" style="123"/>
    <col min="14353" max="14353" width="10.14062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598" width="12" style="123" customWidth="1"/>
    <col min="14599" max="14600" width="8.5703125" style="123" customWidth="1"/>
    <col min="14601" max="14601" width="10.28515625" style="123" customWidth="1"/>
    <col min="14602" max="14603" width="10.85546875" style="123" customWidth="1"/>
    <col min="14604" max="14607" width="10.28515625" style="123" customWidth="1"/>
    <col min="14608" max="14608" width="9.140625" style="123"/>
    <col min="14609" max="14609" width="10.14062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4" width="12" style="123" customWidth="1"/>
    <col min="14855" max="14856" width="8.5703125" style="123" customWidth="1"/>
    <col min="14857" max="14857" width="10.28515625" style="123" customWidth="1"/>
    <col min="14858" max="14859" width="10.85546875" style="123" customWidth="1"/>
    <col min="14860" max="14863" width="10.28515625" style="123" customWidth="1"/>
    <col min="14864" max="14864" width="9.140625" style="123"/>
    <col min="14865" max="14865" width="10.14062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0" width="12" style="123" customWidth="1"/>
    <col min="15111" max="15112" width="8.5703125" style="123" customWidth="1"/>
    <col min="15113" max="15113" width="10.28515625" style="123" customWidth="1"/>
    <col min="15114" max="15115" width="10.85546875" style="123" customWidth="1"/>
    <col min="15116" max="15119" width="10.28515625" style="123" customWidth="1"/>
    <col min="15120" max="15120" width="9.140625" style="123"/>
    <col min="15121" max="15121" width="10.14062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66" width="12" style="123" customWidth="1"/>
    <col min="15367" max="15368" width="8.5703125" style="123" customWidth="1"/>
    <col min="15369" max="15369" width="10.28515625" style="123" customWidth="1"/>
    <col min="15370" max="15371" width="10.85546875" style="123" customWidth="1"/>
    <col min="15372" max="15375" width="10.28515625" style="123" customWidth="1"/>
    <col min="15376" max="15376" width="9.140625" style="123"/>
    <col min="15377" max="15377" width="10.14062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2" width="12" style="123" customWidth="1"/>
    <col min="15623" max="15624" width="8.5703125" style="123" customWidth="1"/>
    <col min="15625" max="15625" width="10.28515625" style="123" customWidth="1"/>
    <col min="15626" max="15627" width="10.85546875" style="123" customWidth="1"/>
    <col min="15628" max="15631" width="10.28515625" style="123" customWidth="1"/>
    <col min="15632" max="15632" width="9.140625" style="123"/>
    <col min="15633" max="15633" width="10.14062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78" width="12" style="123" customWidth="1"/>
    <col min="15879" max="15880" width="8.5703125" style="123" customWidth="1"/>
    <col min="15881" max="15881" width="10.28515625" style="123" customWidth="1"/>
    <col min="15882" max="15883" width="10.85546875" style="123" customWidth="1"/>
    <col min="15884" max="15887" width="10.28515625" style="123" customWidth="1"/>
    <col min="15888" max="15888" width="9.140625" style="123"/>
    <col min="15889" max="15889" width="10.14062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4" width="12" style="123" customWidth="1"/>
    <col min="16135" max="16136" width="8.5703125" style="123" customWidth="1"/>
    <col min="16137" max="16137" width="10.28515625" style="123" customWidth="1"/>
    <col min="16138" max="16139" width="10.85546875" style="123" customWidth="1"/>
    <col min="16140" max="16143" width="10.28515625" style="123" customWidth="1"/>
    <col min="16144" max="16144" width="9.140625" style="123"/>
    <col min="16145" max="16145" width="10.140625" style="123" customWidth="1"/>
    <col min="16146" max="16384" width="9.140625" style="123"/>
  </cols>
  <sheetData>
    <row r="1" spans="1:17" s="292" customFormat="1" ht="15.75" x14ac:dyDescent="0.25"/>
    <row r="2" spans="1:17" s="292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s="292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s="292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7" s="8" customFormat="1" ht="18" customHeight="1" thickBot="1" x14ac:dyDescent="0.3">
      <c r="B5" s="9"/>
      <c r="L5" s="10"/>
      <c r="M5" s="10"/>
      <c r="N5" s="10"/>
      <c r="O5" s="11"/>
      <c r="P5" s="11"/>
    </row>
    <row r="6" spans="1:17" s="128" customFormat="1" ht="32.1" customHeight="1" thickBot="1" x14ac:dyDescent="0.3">
      <c r="A6" s="127"/>
      <c r="B6" s="359" t="s">
        <v>1408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123"/>
      <c r="O6" s="123"/>
      <c r="P6" s="123"/>
      <c r="Q6" s="123"/>
    </row>
    <row r="7" spans="1:17" s="128" customFormat="1" ht="6" customHeight="1" thickBot="1" x14ac:dyDescent="0.3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26"/>
      <c r="N7" s="126"/>
      <c r="O7" s="126"/>
      <c r="P7" s="123"/>
      <c r="Q7" s="123"/>
    </row>
    <row r="8" spans="1:17" s="136" customFormat="1" ht="18" customHeight="1" x14ac:dyDescent="0.25">
      <c r="A8" s="131"/>
      <c r="B8" s="384" t="s">
        <v>1</v>
      </c>
      <c r="C8" s="423" t="s">
        <v>612</v>
      </c>
      <c r="D8" s="424"/>
      <c r="E8" s="425"/>
      <c r="F8" s="426"/>
      <c r="G8" s="297" t="s">
        <v>4</v>
      </c>
      <c r="H8" s="427" t="s">
        <v>5</v>
      </c>
      <c r="I8" s="428"/>
      <c r="J8" s="428"/>
      <c r="K8" s="429"/>
      <c r="L8" s="425" t="s">
        <v>8</v>
      </c>
      <c r="M8" s="430"/>
    </row>
    <row r="9" spans="1:17" s="142" customFormat="1" ht="18" customHeight="1" x14ac:dyDescent="0.25">
      <c r="A9" s="291" t="s">
        <v>1409</v>
      </c>
      <c r="B9" s="385"/>
      <c r="C9" s="369"/>
      <c r="D9" s="370"/>
      <c r="E9" s="387" t="s">
        <v>433</v>
      </c>
      <c r="F9" s="432"/>
      <c r="G9" s="179"/>
      <c r="H9" s="295"/>
      <c r="I9" s="251"/>
      <c r="J9" s="248"/>
      <c r="K9" s="296"/>
      <c r="L9" s="431"/>
      <c r="M9" s="382"/>
    </row>
    <row r="10" spans="1:17" s="136" customFormat="1" ht="18" customHeight="1" thickBot="1" x14ac:dyDescent="0.3">
      <c r="A10" s="131"/>
      <c r="B10" s="298"/>
      <c r="C10" s="411" t="s">
        <v>613</v>
      </c>
      <c r="D10" s="412"/>
      <c r="E10" s="413"/>
      <c r="F10" s="412"/>
      <c r="G10" s="147" t="s">
        <v>16</v>
      </c>
      <c r="H10" s="420" t="s">
        <v>717</v>
      </c>
      <c r="I10" s="421"/>
      <c r="J10" s="249"/>
      <c r="K10" s="250"/>
      <c r="L10" s="414" t="s">
        <v>20</v>
      </c>
      <c r="M10" s="415"/>
    </row>
    <row r="11" spans="1:17" s="136" customFormat="1" ht="18" customHeight="1" thickBot="1" x14ac:dyDescent="0.3">
      <c r="A11" s="131"/>
      <c r="B11" s="29" t="s">
        <v>614</v>
      </c>
      <c r="C11" s="393" t="s">
        <v>615</v>
      </c>
      <c r="D11" s="394"/>
      <c r="E11" s="393" t="s">
        <v>24</v>
      </c>
      <c r="F11" s="394"/>
      <c r="G11" s="92">
        <v>40</v>
      </c>
      <c r="H11" s="416">
        <v>100590651</v>
      </c>
      <c r="I11" s="417"/>
      <c r="J11" s="418">
        <v>80.159361367680006</v>
      </c>
      <c r="K11" s="419"/>
      <c r="L11" s="399">
        <v>9.5</v>
      </c>
      <c r="M11" s="400"/>
    </row>
    <row r="12" spans="1:17" s="136" customFormat="1" ht="18" customHeight="1" thickBot="1" x14ac:dyDescent="0.3">
      <c r="A12" s="131"/>
      <c r="B12" s="29" t="s">
        <v>616</v>
      </c>
      <c r="C12" s="393" t="s">
        <v>617</v>
      </c>
      <c r="D12" s="394"/>
      <c r="E12" s="393" t="s">
        <v>24</v>
      </c>
      <c r="F12" s="394"/>
      <c r="G12" s="293">
        <v>50</v>
      </c>
      <c r="H12" s="395">
        <v>100590646</v>
      </c>
      <c r="I12" s="396"/>
      <c r="J12" s="409">
        <v>92.534400000000019</v>
      </c>
      <c r="K12" s="410"/>
      <c r="L12" s="399">
        <v>12</v>
      </c>
      <c r="M12" s="400"/>
    </row>
    <row r="13" spans="1:17" s="136" customFormat="1" ht="18" customHeight="1" thickBot="1" x14ac:dyDescent="0.3">
      <c r="A13" s="131"/>
      <c r="B13" s="29" t="s">
        <v>618</v>
      </c>
      <c r="C13" s="393" t="s">
        <v>619</v>
      </c>
      <c r="D13" s="394"/>
      <c r="E13" s="393" t="s">
        <v>24</v>
      </c>
      <c r="F13" s="394"/>
      <c r="G13" s="293">
        <v>65</v>
      </c>
      <c r="H13" s="395">
        <v>100590647</v>
      </c>
      <c r="I13" s="396"/>
      <c r="J13" s="397">
        <v>134.80320000000003</v>
      </c>
      <c r="K13" s="398"/>
      <c r="L13" s="399">
        <v>16.5</v>
      </c>
      <c r="M13" s="400"/>
    </row>
    <row r="14" spans="1:17" s="136" customFormat="1" ht="18" customHeight="1" thickBot="1" x14ac:dyDescent="0.3">
      <c r="A14" s="131"/>
      <c r="B14" s="29" t="s">
        <v>620</v>
      </c>
      <c r="C14" s="393" t="s">
        <v>621</v>
      </c>
      <c r="D14" s="394"/>
      <c r="E14" s="393" t="s">
        <v>24</v>
      </c>
      <c r="F14" s="394"/>
      <c r="G14" s="293">
        <v>80</v>
      </c>
      <c r="H14" s="407">
        <v>100590648</v>
      </c>
      <c r="I14" s="408"/>
      <c r="J14" s="397">
        <v>188</v>
      </c>
      <c r="K14" s="398"/>
      <c r="L14" s="399">
        <v>27</v>
      </c>
      <c r="M14" s="400"/>
    </row>
    <row r="15" spans="1:17" s="136" customFormat="1" ht="18" customHeight="1" thickBot="1" x14ac:dyDescent="0.3">
      <c r="A15" s="131"/>
      <c r="B15" s="29" t="s">
        <v>622</v>
      </c>
      <c r="C15" s="393" t="s">
        <v>623</v>
      </c>
      <c r="D15" s="394"/>
      <c r="E15" s="393" t="s">
        <v>24</v>
      </c>
      <c r="F15" s="394"/>
      <c r="G15" s="293">
        <v>100</v>
      </c>
      <c r="H15" s="395">
        <v>100590649</v>
      </c>
      <c r="I15" s="396"/>
      <c r="J15" s="397">
        <v>253.61280000000002</v>
      </c>
      <c r="K15" s="398"/>
      <c r="L15" s="399">
        <v>39</v>
      </c>
      <c r="M15" s="400"/>
    </row>
    <row r="16" spans="1:17" s="136" customFormat="1" ht="18" customHeight="1" thickBot="1" x14ac:dyDescent="0.3">
      <c r="A16" s="131"/>
      <c r="B16" s="29" t="s">
        <v>624</v>
      </c>
      <c r="C16" s="393" t="s">
        <v>625</v>
      </c>
      <c r="D16" s="394"/>
      <c r="E16" s="393" t="s">
        <v>24</v>
      </c>
      <c r="F16" s="394"/>
      <c r="G16" s="293">
        <v>150</v>
      </c>
      <c r="H16" s="407">
        <v>100590650</v>
      </c>
      <c r="I16" s="408"/>
      <c r="J16" s="397">
        <v>644</v>
      </c>
      <c r="K16" s="398"/>
      <c r="L16" s="399">
        <v>93</v>
      </c>
      <c r="M16" s="400"/>
    </row>
    <row r="17" spans="1:13" s="136" customFormat="1" ht="18" customHeight="1" thickBot="1" x14ac:dyDescent="0.3">
      <c r="A17" s="131"/>
      <c r="B17" s="29" t="s">
        <v>626</v>
      </c>
      <c r="C17" s="393" t="s">
        <v>627</v>
      </c>
      <c r="D17" s="394"/>
      <c r="E17" s="393" t="s">
        <v>24</v>
      </c>
      <c r="F17" s="394"/>
      <c r="G17" s="293">
        <v>200</v>
      </c>
      <c r="H17" s="395">
        <v>100590837</v>
      </c>
      <c r="I17" s="396"/>
      <c r="J17" s="397">
        <v>1095</v>
      </c>
      <c r="K17" s="398"/>
      <c r="L17" s="399">
        <v>118.5</v>
      </c>
      <c r="M17" s="400"/>
    </row>
    <row r="18" spans="1:13" s="136" customFormat="1" ht="18" customHeight="1" thickBot="1" x14ac:dyDescent="0.3">
      <c r="A18" s="131"/>
      <c r="B18" s="29" t="s">
        <v>628</v>
      </c>
      <c r="C18" s="393" t="s">
        <v>629</v>
      </c>
      <c r="D18" s="394"/>
      <c r="E18" s="393" t="s">
        <v>24</v>
      </c>
      <c r="F18" s="394"/>
      <c r="G18" s="293">
        <v>250</v>
      </c>
      <c r="H18" s="395">
        <v>100601424</v>
      </c>
      <c r="I18" s="396"/>
      <c r="J18" s="397">
        <v>1181</v>
      </c>
      <c r="K18" s="398"/>
      <c r="L18" s="399">
        <v>188</v>
      </c>
      <c r="M18" s="400"/>
    </row>
    <row r="19" spans="1:13" s="136" customFormat="1" ht="18" customHeight="1" thickBot="1" x14ac:dyDescent="0.3">
      <c r="A19" s="131"/>
      <c r="B19" s="29" t="s">
        <v>630</v>
      </c>
      <c r="C19" s="393" t="s">
        <v>631</v>
      </c>
      <c r="D19" s="394"/>
      <c r="E19" s="393" t="s">
        <v>24</v>
      </c>
      <c r="F19" s="394"/>
      <c r="G19" s="293">
        <v>300</v>
      </c>
      <c r="H19" s="395">
        <v>100601425</v>
      </c>
      <c r="I19" s="396"/>
      <c r="J19" s="397">
        <v>1745.5872000000002</v>
      </c>
      <c r="K19" s="398"/>
      <c r="L19" s="399">
        <v>260</v>
      </c>
      <c r="M19" s="400"/>
    </row>
    <row r="20" spans="1:13" s="136" customFormat="1" ht="18" customHeight="1" thickBot="1" x14ac:dyDescent="0.3">
      <c r="A20" s="131"/>
      <c r="B20" s="29" t="s">
        <v>632</v>
      </c>
      <c r="C20" s="393" t="s">
        <v>633</v>
      </c>
      <c r="D20" s="394"/>
      <c r="E20" s="393" t="s">
        <v>24</v>
      </c>
      <c r="F20" s="394"/>
      <c r="G20" s="293">
        <v>350</v>
      </c>
      <c r="H20" s="395">
        <v>100601426</v>
      </c>
      <c r="I20" s="396"/>
      <c r="J20" s="397">
        <v>2310</v>
      </c>
      <c r="K20" s="398"/>
      <c r="L20" s="399">
        <v>325</v>
      </c>
      <c r="M20" s="400"/>
    </row>
    <row r="21" spans="1:13" s="136" customFormat="1" ht="18" customHeight="1" thickBot="1" x14ac:dyDescent="0.3">
      <c r="A21" s="131"/>
      <c r="B21" s="39" t="s">
        <v>634</v>
      </c>
      <c r="C21" s="401"/>
      <c r="D21" s="402"/>
      <c r="E21" s="401" t="s">
        <v>24</v>
      </c>
      <c r="F21" s="402"/>
      <c r="G21" s="294">
        <v>400</v>
      </c>
      <c r="H21" s="403"/>
      <c r="I21" s="404"/>
      <c r="J21" s="405">
        <v>4133.2032000000008</v>
      </c>
      <c r="K21" s="406"/>
      <c r="L21" s="399"/>
      <c r="M21" s="400"/>
    </row>
  </sheetData>
  <mergeCells count="66">
    <mergeCell ref="B6:M6"/>
    <mergeCell ref="B8:B9"/>
    <mergeCell ref="C8:D9"/>
    <mergeCell ref="E8:F8"/>
    <mergeCell ref="H8:K8"/>
    <mergeCell ref="L8:M9"/>
    <mergeCell ref="E9:F9"/>
    <mergeCell ref="C10:D10"/>
    <mergeCell ref="E10:F10"/>
    <mergeCell ref="L10:M10"/>
    <mergeCell ref="C11:D11"/>
    <mergeCell ref="E11:F11"/>
    <mergeCell ref="H11:I11"/>
    <mergeCell ref="J11:K11"/>
    <mergeCell ref="L11:M11"/>
    <mergeCell ref="H10:I10"/>
    <mergeCell ref="C13:D13"/>
    <mergeCell ref="E13:F13"/>
    <mergeCell ref="H13:I13"/>
    <mergeCell ref="J13:K13"/>
    <mergeCell ref="L13:M13"/>
    <mergeCell ref="C12:D12"/>
    <mergeCell ref="E12:F12"/>
    <mergeCell ref="H12:I12"/>
    <mergeCell ref="J12:K12"/>
    <mergeCell ref="L12:M12"/>
    <mergeCell ref="C15:D15"/>
    <mergeCell ref="E15:F15"/>
    <mergeCell ref="H15:I15"/>
    <mergeCell ref="J15:K15"/>
    <mergeCell ref="L15:M15"/>
    <mergeCell ref="C14:D14"/>
    <mergeCell ref="E14:F14"/>
    <mergeCell ref="H14:I14"/>
    <mergeCell ref="J14:K14"/>
    <mergeCell ref="L14:M14"/>
    <mergeCell ref="C17:D17"/>
    <mergeCell ref="E17:F17"/>
    <mergeCell ref="H17:I17"/>
    <mergeCell ref="J17:K17"/>
    <mergeCell ref="L17:M17"/>
    <mergeCell ref="C16:D16"/>
    <mergeCell ref="E16:F16"/>
    <mergeCell ref="H16:I16"/>
    <mergeCell ref="J16:K16"/>
    <mergeCell ref="L16:M16"/>
    <mergeCell ref="C19:D19"/>
    <mergeCell ref="E19:F19"/>
    <mergeCell ref="H19:I19"/>
    <mergeCell ref="J19:K19"/>
    <mergeCell ref="L19:M19"/>
    <mergeCell ref="C18:D18"/>
    <mergeCell ref="E18:F18"/>
    <mergeCell ref="H18:I18"/>
    <mergeCell ref="J18:K18"/>
    <mergeCell ref="L18:M18"/>
    <mergeCell ref="C21:D21"/>
    <mergeCell ref="E21:F21"/>
    <mergeCell ref="H21:I21"/>
    <mergeCell ref="J21:K21"/>
    <mergeCell ref="L21:M21"/>
    <mergeCell ref="C20:D20"/>
    <mergeCell ref="E20:F20"/>
    <mergeCell ref="H20:I20"/>
    <mergeCell ref="J20:K20"/>
    <mergeCell ref="L20:M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zoomScaleNormal="100" workbookViewId="0">
      <selection activeCell="R6" sqref="R6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67" customWidth="1"/>
    <col min="9" max="9" width="10.85546875" style="1" customWidth="1"/>
    <col min="10" max="10" width="14.28515625" style="167" customWidth="1"/>
    <col min="11" max="15" width="10.85546875" style="1" customWidth="1"/>
    <col min="16" max="16" width="18.140625" style="83" bestFit="1" customWidth="1"/>
    <col min="17" max="17" width="11.85546875" style="83" bestFit="1" customWidth="1"/>
    <col min="18" max="18" width="18.140625" style="1" bestFit="1" customWidth="1"/>
    <col min="19" max="19" width="13.42578125" style="1" bestFit="1" customWidth="1"/>
    <col min="20" max="21" width="11.85546875" style="1" bestFit="1" customWidth="1"/>
    <col min="22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71" width="10.85546875" style="1" customWidth="1"/>
    <col min="272" max="272" width="18.140625" style="1" bestFit="1" customWidth="1"/>
    <col min="273" max="273" width="11.85546875" style="1" bestFit="1" customWidth="1"/>
    <col min="274" max="274" width="18.140625" style="1" bestFit="1" customWidth="1"/>
    <col min="275" max="275" width="13.42578125" style="1" bestFit="1" customWidth="1"/>
    <col min="276" max="277" width="11.85546875" style="1" bestFit="1" customWidth="1"/>
    <col min="278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7" width="10.85546875" style="1" customWidth="1"/>
    <col min="528" max="528" width="18.140625" style="1" bestFit="1" customWidth="1"/>
    <col min="529" max="529" width="11.85546875" style="1" bestFit="1" customWidth="1"/>
    <col min="530" max="530" width="18.140625" style="1" bestFit="1" customWidth="1"/>
    <col min="531" max="531" width="13.42578125" style="1" bestFit="1" customWidth="1"/>
    <col min="532" max="533" width="11.85546875" style="1" bestFit="1" customWidth="1"/>
    <col min="534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3" width="10.85546875" style="1" customWidth="1"/>
    <col min="784" max="784" width="18.140625" style="1" bestFit="1" customWidth="1"/>
    <col min="785" max="785" width="11.85546875" style="1" bestFit="1" customWidth="1"/>
    <col min="786" max="786" width="18.140625" style="1" bestFit="1" customWidth="1"/>
    <col min="787" max="787" width="13.42578125" style="1" bestFit="1" customWidth="1"/>
    <col min="788" max="789" width="11.85546875" style="1" bestFit="1" customWidth="1"/>
    <col min="790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9" width="10.85546875" style="1" customWidth="1"/>
    <col min="1040" max="1040" width="18.140625" style="1" bestFit="1" customWidth="1"/>
    <col min="1041" max="1041" width="11.85546875" style="1" bestFit="1" customWidth="1"/>
    <col min="1042" max="1042" width="18.140625" style="1" bestFit="1" customWidth="1"/>
    <col min="1043" max="1043" width="13.42578125" style="1" bestFit="1" customWidth="1"/>
    <col min="1044" max="1045" width="11.85546875" style="1" bestFit="1" customWidth="1"/>
    <col min="1046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5" width="10.85546875" style="1" customWidth="1"/>
    <col min="1296" max="1296" width="18.140625" style="1" bestFit="1" customWidth="1"/>
    <col min="1297" max="1297" width="11.85546875" style="1" bestFit="1" customWidth="1"/>
    <col min="1298" max="1298" width="18.140625" style="1" bestFit="1" customWidth="1"/>
    <col min="1299" max="1299" width="13.42578125" style="1" bestFit="1" customWidth="1"/>
    <col min="1300" max="1301" width="11.85546875" style="1" bestFit="1" customWidth="1"/>
    <col min="1302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51" width="10.85546875" style="1" customWidth="1"/>
    <col min="1552" max="1552" width="18.140625" style="1" bestFit="1" customWidth="1"/>
    <col min="1553" max="1553" width="11.85546875" style="1" bestFit="1" customWidth="1"/>
    <col min="1554" max="1554" width="18.140625" style="1" bestFit="1" customWidth="1"/>
    <col min="1555" max="1555" width="13.42578125" style="1" bestFit="1" customWidth="1"/>
    <col min="1556" max="1557" width="11.85546875" style="1" bestFit="1" customWidth="1"/>
    <col min="1558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7" width="10.85546875" style="1" customWidth="1"/>
    <col min="1808" max="1808" width="18.140625" style="1" bestFit="1" customWidth="1"/>
    <col min="1809" max="1809" width="11.85546875" style="1" bestFit="1" customWidth="1"/>
    <col min="1810" max="1810" width="18.140625" style="1" bestFit="1" customWidth="1"/>
    <col min="1811" max="1811" width="13.42578125" style="1" bestFit="1" customWidth="1"/>
    <col min="1812" max="1813" width="11.85546875" style="1" bestFit="1" customWidth="1"/>
    <col min="1814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3" width="10.85546875" style="1" customWidth="1"/>
    <col min="2064" max="2064" width="18.140625" style="1" bestFit="1" customWidth="1"/>
    <col min="2065" max="2065" width="11.85546875" style="1" bestFit="1" customWidth="1"/>
    <col min="2066" max="2066" width="18.140625" style="1" bestFit="1" customWidth="1"/>
    <col min="2067" max="2067" width="13.42578125" style="1" bestFit="1" customWidth="1"/>
    <col min="2068" max="2069" width="11.85546875" style="1" bestFit="1" customWidth="1"/>
    <col min="2070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9" width="10.85546875" style="1" customWidth="1"/>
    <col min="2320" max="2320" width="18.140625" style="1" bestFit="1" customWidth="1"/>
    <col min="2321" max="2321" width="11.85546875" style="1" bestFit="1" customWidth="1"/>
    <col min="2322" max="2322" width="18.140625" style="1" bestFit="1" customWidth="1"/>
    <col min="2323" max="2323" width="13.42578125" style="1" bestFit="1" customWidth="1"/>
    <col min="2324" max="2325" width="11.85546875" style="1" bestFit="1" customWidth="1"/>
    <col min="2326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5" width="10.85546875" style="1" customWidth="1"/>
    <col min="2576" max="2576" width="18.140625" style="1" bestFit="1" customWidth="1"/>
    <col min="2577" max="2577" width="11.85546875" style="1" bestFit="1" customWidth="1"/>
    <col min="2578" max="2578" width="18.140625" style="1" bestFit="1" customWidth="1"/>
    <col min="2579" max="2579" width="13.42578125" style="1" bestFit="1" customWidth="1"/>
    <col min="2580" max="2581" width="11.85546875" style="1" bestFit="1" customWidth="1"/>
    <col min="2582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31" width="10.85546875" style="1" customWidth="1"/>
    <col min="2832" max="2832" width="18.140625" style="1" bestFit="1" customWidth="1"/>
    <col min="2833" max="2833" width="11.85546875" style="1" bestFit="1" customWidth="1"/>
    <col min="2834" max="2834" width="18.140625" style="1" bestFit="1" customWidth="1"/>
    <col min="2835" max="2835" width="13.42578125" style="1" bestFit="1" customWidth="1"/>
    <col min="2836" max="2837" width="11.85546875" style="1" bestFit="1" customWidth="1"/>
    <col min="2838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7" width="10.85546875" style="1" customWidth="1"/>
    <col min="3088" max="3088" width="18.140625" style="1" bestFit="1" customWidth="1"/>
    <col min="3089" max="3089" width="11.85546875" style="1" bestFit="1" customWidth="1"/>
    <col min="3090" max="3090" width="18.140625" style="1" bestFit="1" customWidth="1"/>
    <col min="3091" max="3091" width="13.42578125" style="1" bestFit="1" customWidth="1"/>
    <col min="3092" max="3093" width="11.85546875" style="1" bestFit="1" customWidth="1"/>
    <col min="3094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3" width="10.85546875" style="1" customWidth="1"/>
    <col min="3344" max="3344" width="18.140625" style="1" bestFit="1" customWidth="1"/>
    <col min="3345" max="3345" width="11.85546875" style="1" bestFit="1" customWidth="1"/>
    <col min="3346" max="3346" width="18.140625" style="1" bestFit="1" customWidth="1"/>
    <col min="3347" max="3347" width="13.42578125" style="1" bestFit="1" customWidth="1"/>
    <col min="3348" max="3349" width="11.85546875" style="1" bestFit="1" customWidth="1"/>
    <col min="3350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9" width="10.85546875" style="1" customWidth="1"/>
    <col min="3600" max="3600" width="18.140625" style="1" bestFit="1" customWidth="1"/>
    <col min="3601" max="3601" width="11.85546875" style="1" bestFit="1" customWidth="1"/>
    <col min="3602" max="3602" width="18.140625" style="1" bestFit="1" customWidth="1"/>
    <col min="3603" max="3603" width="13.42578125" style="1" bestFit="1" customWidth="1"/>
    <col min="3604" max="3605" width="11.85546875" style="1" bestFit="1" customWidth="1"/>
    <col min="3606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5" width="10.85546875" style="1" customWidth="1"/>
    <col min="3856" max="3856" width="18.140625" style="1" bestFit="1" customWidth="1"/>
    <col min="3857" max="3857" width="11.85546875" style="1" bestFit="1" customWidth="1"/>
    <col min="3858" max="3858" width="18.140625" style="1" bestFit="1" customWidth="1"/>
    <col min="3859" max="3859" width="13.42578125" style="1" bestFit="1" customWidth="1"/>
    <col min="3860" max="3861" width="11.85546875" style="1" bestFit="1" customWidth="1"/>
    <col min="3862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11" width="10.85546875" style="1" customWidth="1"/>
    <col min="4112" max="4112" width="18.140625" style="1" bestFit="1" customWidth="1"/>
    <col min="4113" max="4113" width="11.85546875" style="1" bestFit="1" customWidth="1"/>
    <col min="4114" max="4114" width="18.140625" style="1" bestFit="1" customWidth="1"/>
    <col min="4115" max="4115" width="13.42578125" style="1" bestFit="1" customWidth="1"/>
    <col min="4116" max="4117" width="11.85546875" style="1" bestFit="1" customWidth="1"/>
    <col min="4118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7" width="10.85546875" style="1" customWidth="1"/>
    <col min="4368" max="4368" width="18.140625" style="1" bestFit="1" customWidth="1"/>
    <col min="4369" max="4369" width="11.85546875" style="1" bestFit="1" customWidth="1"/>
    <col min="4370" max="4370" width="18.140625" style="1" bestFit="1" customWidth="1"/>
    <col min="4371" max="4371" width="13.42578125" style="1" bestFit="1" customWidth="1"/>
    <col min="4372" max="4373" width="11.85546875" style="1" bestFit="1" customWidth="1"/>
    <col min="4374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3" width="10.85546875" style="1" customWidth="1"/>
    <col min="4624" max="4624" width="18.140625" style="1" bestFit="1" customWidth="1"/>
    <col min="4625" max="4625" width="11.85546875" style="1" bestFit="1" customWidth="1"/>
    <col min="4626" max="4626" width="18.140625" style="1" bestFit="1" customWidth="1"/>
    <col min="4627" max="4627" width="13.42578125" style="1" bestFit="1" customWidth="1"/>
    <col min="4628" max="4629" width="11.85546875" style="1" bestFit="1" customWidth="1"/>
    <col min="4630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9" width="10.85546875" style="1" customWidth="1"/>
    <col min="4880" max="4880" width="18.140625" style="1" bestFit="1" customWidth="1"/>
    <col min="4881" max="4881" width="11.85546875" style="1" bestFit="1" customWidth="1"/>
    <col min="4882" max="4882" width="18.140625" style="1" bestFit="1" customWidth="1"/>
    <col min="4883" max="4883" width="13.42578125" style="1" bestFit="1" customWidth="1"/>
    <col min="4884" max="4885" width="11.85546875" style="1" bestFit="1" customWidth="1"/>
    <col min="4886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5" width="10.85546875" style="1" customWidth="1"/>
    <col min="5136" max="5136" width="18.140625" style="1" bestFit="1" customWidth="1"/>
    <col min="5137" max="5137" width="11.85546875" style="1" bestFit="1" customWidth="1"/>
    <col min="5138" max="5138" width="18.140625" style="1" bestFit="1" customWidth="1"/>
    <col min="5139" max="5139" width="13.42578125" style="1" bestFit="1" customWidth="1"/>
    <col min="5140" max="5141" width="11.85546875" style="1" bestFit="1" customWidth="1"/>
    <col min="5142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91" width="10.85546875" style="1" customWidth="1"/>
    <col min="5392" max="5392" width="18.140625" style="1" bestFit="1" customWidth="1"/>
    <col min="5393" max="5393" width="11.85546875" style="1" bestFit="1" customWidth="1"/>
    <col min="5394" max="5394" width="18.140625" style="1" bestFit="1" customWidth="1"/>
    <col min="5395" max="5395" width="13.42578125" style="1" bestFit="1" customWidth="1"/>
    <col min="5396" max="5397" width="11.85546875" style="1" bestFit="1" customWidth="1"/>
    <col min="5398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7" width="10.85546875" style="1" customWidth="1"/>
    <col min="5648" max="5648" width="18.140625" style="1" bestFit="1" customWidth="1"/>
    <col min="5649" max="5649" width="11.85546875" style="1" bestFit="1" customWidth="1"/>
    <col min="5650" max="5650" width="18.140625" style="1" bestFit="1" customWidth="1"/>
    <col min="5651" max="5651" width="13.42578125" style="1" bestFit="1" customWidth="1"/>
    <col min="5652" max="5653" width="11.85546875" style="1" bestFit="1" customWidth="1"/>
    <col min="5654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3" width="10.85546875" style="1" customWidth="1"/>
    <col min="5904" max="5904" width="18.140625" style="1" bestFit="1" customWidth="1"/>
    <col min="5905" max="5905" width="11.85546875" style="1" bestFit="1" customWidth="1"/>
    <col min="5906" max="5906" width="18.140625" style="1" bestFit="1" customWidth="1"/>
    <col min="5907" max="5907" width="13.42578125" style="1" bestFit="1" customWidth="1"/>
    <col min="5908" max="5909" width="11.85546875" style="1" bestFit="1" customWidth="1"/>
    <col min="5910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9" width="10.85546875" style="1" customWidth="1"/>
    <col min="6160" max="6160" width="18.140625" style="1" bestFit="1" customWidth="1"/>
    <col min="6161" max="6161" width="11.85546875" style="1" bestFit="1" customWidth="1"/>
    <col min="6162" max="6162" width="18.140625" style="1" bestFit="1" customWidth="1"/>
    <col min="6163" max="6163" width="13.42578125" style="1" bestFit="1" customWidth="1"/>
    <col min="6164" max="6165" width="11.85546875" style="1" bestFit="1" customWidth="1"/>
    <col min="6166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5" width="10.85546875" style="1" customWidth="1"/>
    <col min="6416" max="6416" width="18.140625" style="1" bestFit="1" customWidth="1"/>
    <col min="6417" max="6417" width="11.85546875" style="1" bestFit="1" customWidth="1"/>
    <col min="6418" max="6418" width="18.140625" style="1" bestFit="1" customWidth="1"/>
    <col min="6419" max="6419" width="13.42578125" style="1" bestFit="1" customWidth="1"/>
    <col min="6420" max="6421" width="11.85546875" style="1" bestFit="1" customWidth="1"/>
    <col min="6422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71" width="10.85546875" style="1" customWidth="1"/>
    <col min="6672" max="6672" width="18.140625" style="1" bestFit="1" customWidth="1"/>
    <col min="6673" max="6673" width="11.85546875" style="1" bestFit="1" customWidth="1"/>
    <col min="6674" max="6674" width="18.140625" style="1" bestFit="1" customWidth="1"/>
    <col min="6675" max="6675" width="13.42578125" style="1" bestFit="1" customWidth="1"/>
    <col min="6676" max="6677" width="11.85546875" style="1" bestFit="1" customWidth="1"/>
    <col min="6678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7" width="10.85546875" style="1" customWidth="1"/>
    <col min="6928" max="6928" width="18.140625" style="1" bestFit="1" customWidth="1"/>
    <col min="6929" max="6929" width="11.85546875" style="1" bestFit="1" customWidth="1"/>
    <col min="6930" max="6930" width="18.140625" style="1" bestFit="1" customWidth="1"/>
    <col min="6931" max="6931" width="13.42578125" style="1" bestFit="1" customWidth="1"/>
    <col min="6932" max="6933" width="11.85546875" style="1" bestFit="1" customWidth="1"/>
    <col min="6934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3" width="10.85546875" style="1" customWidth="1"/>
    <col min="7184" max="7184" width="18.140625" style="1" bestFit="1" customWidth="1"/>
    <col min="7185" max="7185" width="11.85546875" style="1" bestFit="1" customWidth="1"/>
    <col min="7186" max="7186" width="18.140625" style="1" bestFit="1" customWidth="1"/>
    <col min="7187" max="7187" width="13.42578125" style="1" bestFit="1" customWidth="1"/>
    <col min="7188" max="7189" width="11.85546875" style="1" bestFit="1" customWidth="1"/>
    <col min="7190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9" width="10.85546875" style="1" customWidth="1"/>
    <col min="7440" max="7440" width="18.140625" style="1" bestFit="1" customWidth="1"/>
    <col min="7441" max="7441" width="11.85546875" style="1" bestFit="1" customWidth="1"/>
    <col min="7442" max="7442" width="18.140625" style="1" bestFit="1" customWidth="1"/>
    <col min="7443" max="7443" width="13.42578125" style="1" bestFit="1" customWidth="1"/>
    <col min="7444" max="7445" width="11.85546875" style="1" bestFit="1" customWidth="1"/>
    <col min="7446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5" width="10.85546875" style="1" customWidth="1"/>
    <col min="7696" max="7696" width="18.140625" style="1" bestFit="1" customWidth="1"/>
    <col min="7697" max="7697" width="11.85546875" style="1" bestFit="1" customWidth="1"/>
    <col min="7698" max="7698" width="18.140625" style="1" bestFit="1" customWidth="1"/>
    <col min="7699" max="7699" width="13.42578125" style="1" bestFit="1" customWidth="1"/>
    <col min="7700" max="7701" width="11.85546875" style="1" bestFit="1" customWidth="1"/>
    <col min="7702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51" width="10.85546875" style="1" customWidth="1"/>
    <col min="7952" max="7952" width="18.140625" style="1" bestFit="1" customWidth="1"/>
    <col min="7953" max="7953" width="11.85546875" style="1" bestFit="1" customWidth="1"/>
    <col min="7954" max="7954" width="18.140625" style="1" bestFit="1" customWidth="1"/>
    <col min="7955" max="7955" width="13.42578125" style="1" bestFit="1" customWidth="1"/>
    <col min="7956" max="7957" width="11.85546875" style="1" bestFit="1" customWidth="1"/>
    <col min="7958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7" width="10.85546875" style="1" customWidth="1"/>
    <col min="8208" max="8208" width="18.140625" style="1" bestFit="1" customWidth="1"/>
    <col min="8209" max="8209" width="11.85546875" style="1" bestFit="1" customWidth="1"/>
    <col min="8210" max="8210" width="18.140625" style="1" bestFit="1" customWidth="1"/>
    <col min="8211" max="8211" width="13.42578125" style="1" bestFit="1" customWidth="1"/>
    <col min="8212" max="8213" width="11.85546875" style="1" bestFit="1" customWidth="1"/>
    <col min="8214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3" width="10.85546875" style="1" customWidth="1"/>
    <col min="8464" max="8464" width="18.140625" style="1" bestFit="1" customWidth="1"/>
    <col min="8465" max="8465" width="11.85546875" style="1" bestFit="1" customWidth="1"/>
    <col min="8466" max="8466" width="18.140625" style="1" bestFit="1" customWidth="1"/>
    <col min="8467" max="8467" width="13.42578125" style="1" bestFit="1" customWidth="1"/>
    <col min="8468" max="8469" width="11.85546875" style="1" bestFit="1" customWidth="1"/>
    <col min="8470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9" width="10.85546875" style="1" customWidth="1"/>
    <col min="8720" max="8720" width="18.140625" style="1" bestFit="1" customWidth="1"/>
    <col min="8721" max="8721" width="11.85546875" style="1" bestFit="1" customWidth="1"/>
    <col min="8722" max="8722" width="18.140625" style="1" bestFit="1" customWidth="1"/>
    <col min="8723" max="8723" width="13.42578125" style="1" bestFit="1" customWidth="1"/>
    <col min="8724" max="8725" width="11.85546875" style="1" bestFit="1" customWidth="1"/>
    <col min="8726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5" width="10.85546875" style="1" customWidth="1"/>
    <col min="8976" max="8976" width="18.140625" style="1" bestFit="1" customWidth="1"/>
    <col min="8977" max="8977" width="11.85546875" style="1" bestFit="1" customWidth="1"/>
    <col min="8978" max="8978" width="18.140625" style="1" bestFit="1" customWidth="1"/>
    <col min="8979" max="8979" width="13.42578125" style="1" bestFit="1" customWidth="1"/>
    <col min="8980" max="8981" width="11.85546875" style="1" bestFit="1" customWidth="1"/>
    <col min="8982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31" width="10.85546875" style="1" customWidth="1"/>
    <col min="9232" max="9232" width="18.140625" style="1" bestFit="1" customWidth="1"/>
    <col min="9233" max="9233" width="11.85546875" style="1" bestFit="1" customWidth="1"/>
    <col min="9234" max="9234" width="18.140625" style="1" bestFit="1" customWidth="1"/>
    <col min="9235" max="9235" width="13.42578125" style="1" bestFit="1" customWidth="1"/>
    <col min="9236" max="9237" width="11.85546875" style="1" bestFit="1" customWidth="1"/>
    <col min="9238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7" width="10.85546875" style="1" customWidth="1"/>
    <col min="9488" max="9488" width="18.140625" style="1" bestFit="1" customWidth="1"/>
    <col min="9489" max="9489" width="11.85546875" style="1" bestFit="1" customWidth="1"/>
    <col min="9490" max="9490" width="18.140625" style="1" bestFit="1" customWidth="1"/>
    <col min="9491" max="9491" width="13.42578125" style="1" bestFit="1" customWidth="1"/>
    <col min="9492" max="9493" width="11.85546875" style="1" bestFit="1" customWidth="1"/>
    <col min="9494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3" width="10.85546875" style="1" customWidth="1"/>
    <col min="9744" max="9744" width="18.140625" style="1" bestFit="1" customWidth="1"/>
    <col min="9745" max="9745" width="11.85546875" style="1" bestFit="1" customWidth="1"/>
    <col min="9746" max="9746" width="18.140625" style="1" bestFit="1" customWidth="1"/>
    <col min="9747" max="9747" width="13.42578125" style="1" bestFit="1" customWidth="1"/>
    <col min="9748" max="9749" width="11.85546875" style="1" bestFit="1" customWidth="1"/>
    <col min="9750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9" width="10.85546875" style="1" customWidth="1"/>
    <col min="10000" max="10000" width="18.140625" style="1" bestFit="1" customWidth="1"/>
    <col min="10001" max="10001" width="11.85546875" style="1" bestFit="1" customWidth="1"/>
    <col min="10002" max="10002" width="18.140625" style="1" bestFit="1" customWidth="1"/>
    <col min="10003" max="10003" width="13.42578125" style="1" bestFit="1" customWidth="1"/>
    <col min="10004" max="10005" width="11.85546875" style="1" bestFit="1" customWidth="1"/>
    <col min="10006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5" width="10.85546875" style="1" customWidth="1"/>
    <col min="10256" max="10256" width="18.140625" style="1" bestFit="1" customWidth="1"/>
    <col min="10257" max="10257" width="11.85546875" style="1" bestFit="1" customWidth="1"/>
    <col min="10258" max="10258" width="18.140625" style="1" bestFit="1" customWidth="1"/>
    <col min="10259" max="10259" width="13.42578125" style="1" bestFit="1" customWidth="1"/>
    <col min="10260" max="10261" width="11.85546875" style="1" bestFit="1" customWidth="1"/>
    <col min="10262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11" width="10.85546875" style="1" customWidth="1"/>
    <col min="10512" max="10512" width="18.140625" style="1" bestFit="1" customWidth="1"/>
    <col min="10513" max="10513" width="11.85546875" style="1" bestFit="1" customWidth="1"/>
    <col min="10514" max="10514" width="18.140625" style="1" bestFit="1" customWidth="1"/>
    <col min="10515" max="10515" width="13.42578125" style="1" bestFit="1" customWidth="1"/>
    <col min="10516" max="10517" width="11.85546875" style="1" bestFit="1" customWidth="1"/>
    <col min="10518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7" width="10.85546875" style="1" customWidth="1"/>
    <col min="10768" max="10768" width="18.140625" style="1" bestFit="1" customWidth="1"/>
    <col min="10769" max="10769" width="11.85546875" style="1" bestFit="1" customWidth="1"/>
    <col min="10770" max="10770" width="18.140625" style="1" bestFit="1" customWidth="1"/>
    <col min="10771" max="10771" width="13.42578125" style="1" bestFit="1" customWidth="1"/>
    <col min="10772" max="10773" width="11.85546875" style="1" bestFit="1" customWidth="1"/>
    <col min="10774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3" width="10.85546875" style="1" customWidth="1"/>
    <col min="11024" max="11024" width="18.140625" style="1" bestFit="1" customWidth="1"/>
    <col min="11025" max="11025" width="11.85546875" style="1" bestFit="1" customWidth="1"/>
    <col min="11026" max="11026" width="18.140625" style="1" bestFit="1" customWidth="1"/>
    <col min="11027" max="11027" width="13.42578125" style="1" bestFit="1" customWidth="1"/>
    <col min="11028" max="11029" width="11.85546875" style="1" bestFit="1" customWidth="1"/>
    <col min="11030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9" width="10.85546875" style="1" customWidth="1"/>
    <col min="11280" max="11280" width="18.140625" style="1" bestFit="1" customWidth="1"/>
    <col min="11281" max="11281" width="11.85546875" style="1" bestFit="1" customWidth="1"/>
    <col min="11282" max="11282" width="18.140625" style="1" bestFit="1" customWidth="1"/>
    <col min="11283" max="11283" width="13.42578125" style="1" bestFit="1" customWidth="1"/>
    <col min="11284" max="11285" width="11.85546875" style="1" bestFit="1" customWidth="1"/>
    <col min="11286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5" width="10.85546875" style="1" customWidth="1"/>
    <col min="11536" max="11536" width="18.140625" style="1" bestFit="1" customWidth="1"/>
    <col min="11537" max="11537" width="11.85546875" style="1" bestFit="1" customWidth="1"/>
    <col min="11538" max="11538" width="18.140625" style="1" bestFit="1" customWidth="1"/>
    <col min="11539" max="11539" width="13.42578125" style="1" bestFit="1" customWidth="1"/>
    <col min="11540" max="11541" width="11.85546875" style="1" bestFit="1" customWidth="1"/>
    <col min="11542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91" width="10.85546875" style="1" customWidth="1"/>
    <col min="11792" max="11792" width="18.140625" style="1" bestFit="1" customWidth="1"/>
    <col min="11793" max="11793" width="11.85546875" style="1" bestFit="1" customWidth="1"/>
    <col min="11794" max="11794" width="18.140625" style="1" bestFit="1" customWidth="1"/>
    <col min="11795" max="11795" width="13.42578125" style="1" bestFit="1" customWidth="1"/>
    <col min="11796" max="11797" width="11.85546875" style="1" bestFit="1" customWidth="1"/>
    <col min="11798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7" width="10.85546875" style="1" customWidth="1"/>
    <col min="12048" max="12048" width="18.140625" style="1" bestFit="1" customWidth="1"/>
    <col min="12049" max="12049" width="11.85546875" style="1" bestFit="1" customWidth="1"/>
    <col min="12050" max="12050" width="18.140625" style="1" bestFit="1" customWidth="1"/>
    <col min="12051" max="12051" width="13.42578125" style="1" bestFit="1" customWidth="1"/>
    <col min="12052" max="12053" width="11.85546875" style="1" bestFit="1" customWidth="1"/>
    <col min="12054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3" width="10.85546875" style="1" customWidth="1"/>
    <col min="12304" max="12304" width="18.140625" style="1" bestFit="1" customWidth="1"/>
    <col min="12305" max="12305" width="11.85546875" style="1" bestFit="1" customWidth="1"/>
    <col min="12306" max="12306" width="18.140625" style="1" bestFit="1" customWidth="1"/>
    <col min="12307" max="12307" width="13.42578125" style="1" bestFit="1" customWidth="1"/>
    <col min="12308" max="12309" width="11.85546875" style="1" bestFit="1" customWidth="1"/>
    <col min="12310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9" width="10.85546875" style="1" customWidth="1"/>
    <col min="12560" max="12560" width="18.140625" style="1" bestFit="1" customWidth="1"/>
    <col min="12561" max="12561" width="11.85546875" style="1" bestFit="1" customWidth="1"/>
    <col min="12562" max="12562" width="18.140625" style="1" bestFit="1" customWidth="1"/>
    <col min="12563" max="12563" width="13.42578125" style="1" bestFit="1" customWidth="1"/>
    <col min="12564" max="12565" width="11.85546875" style="1" bestFit="1" customWidth="1"/>
    <col min="12566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5" width="10.85546875" style="1" customWidth="1"/>
    <col min="12816" max="12816" width="18.140625" style="1" bestFit="1" customWidth="1"/>
    <col min="12817" max="12817" width="11.85546875" style="1" bestFit="1" customWidth="1"/>
    <col min="12818" max="12818" width="18.140625" style="1" bestFit="1" customWidth="1"/>
    <col min="12819" max="12819" width="13.42578125" style="1" bestFit="1" customWidth="1"/>
    <col min="12820" max="12821" width="11.85546875" style="1" bestFit="1" customWidth="1"/>
    <col min="12822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71" width="10.85546875" style="1" customWidth="1"/>
    <col min="13072" max="13072" width="18.140625" style="1" bestFit="1" customWidth="1"/>
    <col min="13073" max="13073" width="11.85546875" style="1" bestFit="1" customWidth="1"/>
    <col min="13074" max="13074" width="18.140625" style="1" bestFit="1" customWidth="1"/>
    <col min="13075" max="13075" width="13.42578125" style="1" bestFit="1" customWidth="1"/>
    <col min="13076" max="13077" width="11.85546875" style="1" bestFit="1" customWidth="1"/>
    <col min="13078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7" width="10.85546875" style="1" customWidth="1"/>
    <col min="13328" max="13328" width="18.140625" style="1" bestFit="1" customWidth="1"/>
    <col min="13329" max="13329" width="11.85546875" style="1" bestFit="1" customWidth="1"/>
    <col min="13330" max="13330" width="18.140625" style="1" bestFit="1" customWidth="1"/>
    <col min="13331" max="13331" width="13.42578125" style="1" bestFit="1" customWidth="1"/>
    <col min="13332" max="13333" width="11.85546875" style="1" bestFit="1" customWidth="1"/>
    <col min="13334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3" width="10.85546875" style="1" customWidth="1"/>
    <col min="13584" max="13584" width="18.140625" style="1" bestFit="1" customWidth="1"/>
    <col min="13585" max="13585" width="11.85546875" style="1" bestFit="1" customWidth="1"/>
    <col min="13586" max="13586" width="18.140625" style="1" bestFit="1" customWidth="1"/>
    <col min="13587" max="13587" width="13.42578125" style="1" bestFit="1" customWidth="1"/>
    <col min="13588" max="13589" width="11.85546875" style="1" bestFit="1" customWidth="1"/>
    <col min="13590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9" width="10.85546875" style="1" customWidth="1"/>
    <col min="13840" max="13840" width="18.140625" style="1" bestFit="1" customWidth="1"/>
    <col min="13841" max="13841" width="11.85546875" style="1" bestFit="1" customWidth="1"/>
    <col min="13842" max="13842" width="18.140625" style="1" bestFit="1" customWidth="1"/>
    <col min="13843" max="13843" width="13.42578125" style="1" bestFit="1" customWidth="1"/>
    <col min="13844" max="13845" width="11.85546875" style="1" bestFit="1" customWidth="1"/>
    <col min="13846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5" width="10.85546875" style="1" customWidth="1"/>
    <col min="14096" max="14096" width="18.140625" style="1" bestFit="1" customWidth="1"/>
    <col min="14097" max="14097" width="11.85546875" style="1" bestFit="1" customWidth="1"/>
    <col min="14098" max="14098" width="18.140625" style="1" bestFit="1" customWidth="1"/>
    <col min="14099" max="14099" width="13.42578125" style="1" bestFit="1" customWidth="1"/>
    <col min="14100" max="14101" width="11.85546875" style="1" bestFit="1" customWidth="1"/>
    <col min="14102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51" width="10.85546875" style="1" customWidth="1"/>
    <col min="14352" max="14352" width="18.140625" style="1" bestFit="1" customWidth="1"/>
    <col min="14353" max="14353" width="11.85546875" style="1" bestFit="1" customWidth="1"/>
    <col min="14354" max="14354" width="18.140625" style="1" bestFit="1" customWidth="1"/>
    <col min="14355" max="14355" width="13.42578125" style="1" bestFit="1" customWidth="1"/>
    <col min="14356" max="14357" width="11.85546875" style="1" bestFit="1" customWidth="1"/>
    <col min="14358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7" width="10.85546875" style="1" customWidth="1"/>
    <col min="14608" max="14608" width="18.140625" style="1" bestFit="1" customWidth="1"/>
    <col min="14609" max="14609" width="11.85546875" style="1" bestFit="1" customWidth="1"/>
    <col min="14610" max="14610" width="18.140625" style="1" bestFit="1" customWidth="1"/>
    <col min="14611" max="14611" width="13.42578125" style="1" bestFit="1" customWidth="1"/>
    <col min="14612" max="14613" width="11.85546875" style="1" bestFit="1" customWidth="1"/>
    <col min="14614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3" width="10.85546875" style="1" customWidth="1"/>
    <col min="14864" max="14864" width="18.140625" style="1" bestFit="1" customWidth="1"/>
    <col min="14865" max="14865" width="11.85546875" style="1" bestFit="1" customWidth="1"/>
    <col min="14866" max="14866" width="18.140625" style="1" bestFit="1" customWidth="1"/>
    <col min="14867" max="14867" width="13.42578125" style="1" bestFit="1" customWidth="1"/>
    <col min="14868" max="14869" width="11.85546875" style="1" bestFit="1" customWidth="1"/>
    <col min="14870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9" width="10.85546875" style="1" customWidth="1"/>
    <col min="15120" max="15120" width="18.140625" style="1" bestFit="1" customWidth="1"/>
    <col min="15121" max="15121" width="11.85546875" style="1" bestFit="1" customWidth="1"/>
    <col min="15122" max="15122" width="18.140625" style="1" bestFit="1" customWidth="1"/>
    <col min="15123" max="15123" width="13.42578125" style="1" bestFit="1" customWidth="1"/>
    <col min="15124" max="15125" width="11.85546875" style="1" bestFit="1" customWidth="1"/>
    <col min="15126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5" width="10.85546875" style="1" customWidth="1"/>
    <col min="15376" max="15376" width="18.140625" style="1" bestFit="1" customWidth="1"/>
    <col min="15377" max="15377" width="11.85546875" style="1" bestFit="1" customWidth="1"/>
    <col min="15378" max="15378" width="18.140625" style="1" bestFit="1" customWidth="1"/>
    <col min="15379" max="15379" width="13.42578125" style="1" bestFit="1" customWidth="1"/>
    <col min="15380" max="15381" width="11.85546875" style="1" bestFit="1" customWidth="1"/>
    <col min="15382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31" width="10.85546875" style="1" customWidth="1"/>
    <col min="15632" max="15632" width="18.140625" style="1" bestFit="1" customWidth="1"/>
    <col min="15633" max="15633" width="11.85546875" style="1" bestFit="1" customWidth="1"/>
    <col min="15634" max="15634" width="18.140625" style="1" bestFit="1" customWidth="1"/>
    <col min="15635" max="15635" width="13.42578125" style="1" bestFit="1" customWidth="1"/>
    <col min="15636" max="15637" width="11.85546875" style="1" bestFit="1" customWidth="1"/>
    <col min="15638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7" width="10.85546875" style="1" customWidth="1"/>
    <col min="15888" max="15888" width="18.140625" style="1" bestFit="1" customWidth="1"/>
    <col min="15889" max="15889" width="11.85546875" style="1" bestFit="1" customWidth="1"/>
    <col min="15890" max="15890" width="18.140625" style="1" bestFit="1" customWidth="1"/>
    <col min="15891" max="15891" width="13.42578125" style="1" bestFit="1" customWidth="1"/>
    <col min="15892" max="15893" width="11.85546875" style="1" bestFit="1" customWidth="1"/>
    <col min="15894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3" width="10.85546875" style="1" customWidth="1"/>
    <col min="16144" max="16144" width="18.140625" style="1" bestFit="1" customWidth="1"/>
    <col min="16145" max="16145" width="11.85546875" style="1" bestFit="1" customWidth="1"/>
    <col min="16146" max="16146" width="18.140625" style="1" bestFit="1" customWidth="1"/>
    <col min="16147" max="16147" width="13.42578125" style="1" bestFit="1" customWidth="1"/>
    <col min="16148" max="16149" width="11.85546875" style="1" bestFit="1" customWidth="1"/>
    <col min="16150" max="16384" width="9.140625" style="1"/>
  </cols>
  <sheetData>
    <row r="1" spans="1:17" x14ac:dyDescent="0.25">
      <c r="P1" s="1"/>
      <c r="Q1" s="1"/>
    </row>
    <row r="2" spans="1:17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P2" s="1"/>
      <c r="Q2" s="1"/>
    </row>
    <row r="3" spans="1:17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P3" s="1"/>
      <c r="Q3" s="1"/>
    </row>
    <row r="4" spans="1:17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7"/>
      <c r="P4" s="1"/>
      <c r="Q4" s="1"/>
    </row>
    <row r="5" spans="1:17" s="8" customFormat="1" ht="18" customHeight="1" thickBot="1" x14ac:dyDescent="0.3">
      <c r="B5" s="9"/>
      <c r="K5" s="10"/>
      <c r="L5" s="10"/>
      <c r="M5" s="10"/>
      <c r="N5" s="11"/>
      <c r="O5" s="11"/>
    </row>
    <row r="6" spans="1:17" s="63" customFormat="1" ht="31.7" customHeight="1" thickBot="1" x14ac:dyDescent="0.3">
      <c r="B6" s="65" t="s">
        <v>939</v>
      </c>
      <c r="C6" s="65"/>
      <c r="D6" s="65"/>
      <c r="E6" s="168"/>
      <c r="F6" s="168"/>
      <c r="G6" s="168"/>
      <c r="H6" s="168"/>
      <c r="I6" s="168"/>
      <c r="J6" s="168"/>
      <c r="K6" s="65"/>
      <c r="L6" s="65"/>
      <c r="M6" s="12"/>
      <c r="N6" s="66"/>
      <c r="O6" s="67"/>
      <c r="P6" s="68"/>
      <c r="Q6" s="68"/>
    </row>
    <row r="7" spans="1:17" s="63" customFormat="1" ht="6.75" customHeight="1" thickBot="1" x14ac:dyDescent="0.3">
      <c r="A7" s="59"/>
      <c r="B7" s="69"/>
      <c r="C7" s="69"/>
      <c r="D7" s="69"/>
      <c r="E7" s="69"/>
      <c r="F7" s="69"/>
      <c r="G7" s="69"/>
      <c r="H7" s="185"/>
      <c r="I7" s="185"/>
      <c r="J7" s="185"/>
      <c r="K7" s="185"/>
      <c r="L7" s="69"/>
      <c r="P7" s="68"/>
      <c r="Q7" s="68"/>
    </row>
    <row r="8" spans="1:17" s="47" customFormat="1" ht="18" customHeight="1" x14ac:dyDescent="0.25">
      <c r="A8" s="70"/>
      <c r="B8" s="341" t="s">
        <v>1</v>
      </c>
      <c r="C8" s="337" t="s">
        <v>2</v>
      </c>
      <c r="D8" s="338"/>
      <c r="E8" s="346" t="s">
        <v>3</v>
      </c>
      <c r="F8" s="346"/>
      <c r="G8" s="171" t="s">
        <v>4</v>
      </c>
      <c r="H8" s="350" t="s">
        <v>5</v>
      </c>
      <c r="I8" s="351"/>
      <c r="J8" s="351"/>
      <c r="K8" s="345"/>
      <c r="L8" s="347" t="s">
        <v>6</v>
      </c>
      <c r="M8" s="328" t="s">
        <v>7</v>
      </c>
      <c r="N8" s="312" t="s">
        <v>8</v>
      </c>
      <c r="O8" s="16" t="s">
        <v>9</v>
      </c>
      <c r="P8" s="71"/>
      <c r="Q8" s="71"/>
    </row>
    <row r="9" spans="1:17" s="59" customFormat="1" ht="18" customHeight="1" x14ac:dyDescent="0.25">
      <c r="A9" s="18" t="s">
        <v>41</v>
      </c>
      <c r="B9" s="342"/>
      <c r="C9" s="339"/>
      <c r="D9" s="340"/>
      <c r="E9" s="72" t="s">
        <v>10</v>
      </c>
      <c r="F9" s="73" t="s">
        <v>11</v>
      </c>
      <c r="G9" s="74"/>
      <c r="H9" s="333" t="s">
        <v>42</v>
      </c>
      <c r="I9" s="349"/>
      <c r="J9" s="344" t="s">
        <v>43</v>
      </c>
      <c r="K9" s="349"/>
      <c r="L9" s="326"/>
      <c r="M9" s="329"/>
      <c r="N9" s="313"/>
      <c r="O9" s="22"/>
      <c r="P9" s="75"/>
      <c r="Q9" s="75"/>
    </row>
    <row r="10" spans="1:17" s="47" customFormat="1" ht="18" customHeight="1" thickBot="1" x14ac:dyDescent="0.3">
      <c r="B10" s="343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17</v>
      </c>
      <c r="J10" s="201" t="s">
        <v>717</v>
      </c>
      <c r="K10" s="183" t="s">
        <v>18</v>
      </c>
      <c r="L10" s="348"/>
      <c r="M10" s="26" t="s">
        <v>19</v>
      </c>
      <c r="N10" s="314" t="s">
        <v>20</v>
      </c>
      <c r="O10" s="320" t="s">
        <v>21</v>
      </c>
      <c r="P10" s="71"/>
      <c r="Q10" s="71"/>
    </row>
    <row r="11" spans="1:17" s="47" customFormat="1" ht="18" customHeight="1" thickBot="1" x14ac:dyDescent="0.3">
      <c r="B11" s="29" t="s">
        <v>796</v>
      </c>
      <c r="C11" s="76">
        <v>0.75</v>
      </c>
      <c r="D11" s="77">
        <v>1</v>
      </c>
      <c r="E11" s="76">
        <v>9</v>
      </c>
      <c r="F11" s="77">
        <v>15</v>
      </c>
      <c r="G11" s="78" t="s">
        <v>44</v>
      </c>
      <c r="H11" s="194">
        <v>100580159</v>
      </c>
      <c r="I11" s="188">
        <v>489.6</v>
      </c>
      <c r="J11" s="198">
        <v>100589383</v>
      </c>
      <c r="K11" s="184">
        <v>387</v>
      </c>
      <c r="L11" s="80" t="s">
        <v>23</v>
      </c>
      <c r="M11" s="81">
        <v>2900</v>
      </c>
      <c r="N11" s="81">
        <v>24</v>
      </c>
      <c r="O11" s="82">
        <v>4.4999999999999998E-2</v>
      </c>
      <c r="P11" s="71"/>
      <c r="Q11" s="71"/>
    </row>
    <row r="12" spans="1:17" s="47" customFormat="1" ht="18" customHeight="1" thickBot="1" x14ac:dyDescent="0.3">
      <c r="B12" s="29" t="s">
        <v>797</v>
      </c>
      <c r="C12" s="76">
        <v>1.1000000000000001</v>
      </c>
      <c r="D12" s="77">
        <v>1.5</v>
      </c>
      <c r="E12" s="76">
        <v>15</v>
      </c>
      <c r="F12" s="77">
        <v>16.5</v>
      </c>
      <c r="G12" s="78" t="s">
        <v>44</v>
      </c>
      <c r="H12" s="192"/>
      <c r="I12" s="186">
        <v>426.75953332582083</v>
      </c>
      <c r="J12" s="198">
        <v>100589974</v>
      </c>
      <c r="K12" s="184">
        <v>407</v>
      </c>
      <c r="L12" s="80" t="s">
        <v>23</v>
      </c>
      <c r="M12" s="81">
        <v>2900</v>
      </c>
      <c r="N12" s="81">
        <v>25</v>
      </c>
      <c r="O12" s="82">
        <v>4.4999999999999998E-2</v>
      </c>
      <c r="P12" s="71"/>
      <c r="Q12" s="71"/>
    </row>
    <row r="13" spans="1:17" ht="18" customHeight="1" thickBot="1" x14ac:dyDescent="0.3">
      <c r="A13" s="47"/>
      <c r="B13" s="29" t="s">
        <v>798</v>
      </c>
      <c r="C13" s="76">
        <v>1.5</v>
      </c>
      <c r="D13" s="77">
        <v>2</v>
      </c>
      <c r="E13" s="76">
        <v>9</v>
      </c>
      <c r="F13" s="77">
        <v>22.5</v>
      </c>
      <c r="G13" s="78" t="s">
        <v>44</v>
      </c>
      <c r="H13" s="192"/>
      <c r="I13" s="186">
        <v>488.48224157893441</v>
      </c>
      <c r="J13" s="198">
        <v>100589384</v>
      </c>
      <c r="K13" s="184">
        <v>464</v>
      </c>
      <c r="L13" s="80" t="s">
        <v>23</v>
      </c>
      <c r="M13" s="81">
        <v>2900</v>
      </c>
      <c r="N13" s="81">
        <v>34</v>
      </c>
      <c r="O13" s="82">
        <v>4.4999999999999998E-2</v>
      </c>
      <c r="P13" s="71"/>
    </row>
    <row r="14" spans="1:17" ht="18" customHeight="1" thickBot="1" x14ac:dyDescent="0.3">
      <c r="A14" s="47"/>
      <c r="B14" s="29" t="s">
        <v>799</v>
      </c>
      <c r="C14" s="76">
        <v>2.2000000000000002</v>
      </c>
      <c r="D14" s="77">
        <v>3</v>
      </c>
      <c r="E14" s="76">
        <v>15</v>
      </c>
      <c r="F14" s="77">
        <v>24.5</v>
      </c>
      <c r="G14" s="78" t="s">
        <v>44</v>
      </c>
      <c r="H14" s="192"/>
      <c r="I14" s="186">
        <v>525.8899435505183</v>
      </c>
      <c r="J14" s="198">
        <v>100589385</v>
      </c>
      <c r="K14" s="184">
        <v>490.35262667751374</v>
      </c>
      <c r="L14" s="80" t="s">
        <v>23</v>
      </c>
      <c r="M14" s="81">
        <v>2900</v>
      </c>
      <c r="N14" s="81">
        <v>39</v>
      </c>
      <c r="O14" s="82">
        <v>4.4999999999999998E-2</v>
      </c>
      <c r="P14" s="71"/>
    </row>
    <row r="15" spans="1:17" ht="18" customHeight="1" thickBot="1" x14ac:dyDescent="0.3">
      <c r="B15" s="29" t="s">
        <v>800</v>
      </c>
      <c r="C15" s="76">
        <v>3</v>
      </c>
      <c r="D15" s="77">
        <v>4</v>
      </c>
      <c r="E15" s="76">
        <v>18</v>
      </c>
      <c r="F15" s="77">
        <v>25.5</v>
      </c>
      <c r="G15" s="78" t="s">
        <v>44</v>
      </c>
      <c r="H15" s="192"/>
      <c r="I15" s="186">
        <v>597.27630814629117</v>
      </c>
      <c r="J15" s="198">
        <v>100589386</v>
      </c>
      <c r="K15" s="184">
        <v>525.8899435505183</v>
      </c>
      <c r="L15" s="80" t="s">
        <v>23</v>
      </c>
      <c r="M15" s="81">
        <v>2900</v>
      </c>
      <c r="N15" s="81">
        <v>50</v>
      </c>
      <c r="O15" s="82">
        <v>4.8000000000000001E-2</v>
      </c>
      <c r="P15" s="71"/>
    </row>
    <row r="16" spans="1:17" s="47" customFormat="1" ht="18" customHeight="1" thickBot="1" x14ac:dyDescent="0.3">
      <c r="B16" s="29" t="s">
        <v>801</v>
      </c>
      <c r="C16" s="76">
        <v>4</v>
      </c>
      <c r="D16" s="77">
        <v>5.5</v>
      </c>
      <c r="E16" s="76">
        <v>27</v>
      </c>
      <c r="F16" s="77">
        <v>35</v>
      </c>
      <c r="G16" s="78" t="s">
        <v>44</v>
      </c>
      <c r="H16" s="193"/>
      <c r="I16" s="189"/>
      <c r="J16" s="198">
        <v>100589387</v>
      </c>
      <c r="K16" s="184">
        <v>825</v>
      </c>
      <c r="L16" s="80" t="s">
        <v>23</v>
      </c>
      <c r="M16" s="81">
        <v>2900</v>
      </c>
      <c r="N16" s="81">
        <v>59</v>
      </c>
      <c r="O16" s="82">
        <v>7.6999999999999999E-2</v>
      </c>
      <c r="P16" s="71"/>
      <c r="Q16" s="71"/>
    </row>
    <row r="17" spans="1:17" s="47" customFormat="1" ht="18" customHeight="1" thickBot="1" x14ac:dyDescent="0.3">
      <c r="B17" s="29" t="s">
        <v>802</v>
      </c>
      <c r="C17" s="76">
        <v>5.5</v>
      </c>
      <c r="D17" s="77">
        <v>7.5</v>
      </c>
      <c r="E17" s="76">
        <v>27</v>
      </c>
      <c r="F17" s="77">
        <v>40.1</v>
      </c>
      <c r="G17" s="78" t="s">
        <v>44</v>
      </c>
      <c r="H17" s="193"/>
      <c r="I17" s="189"/>
      <c r="J17" s="198">
        <v>100589975</v>
      </c>
      <c r="K17" s="184">
        <v>866.30003149193283</v>
      </c>
      <c r="L17" s="80" t="s">
        <v>23</v>
      </c>
      <c r="M17" s="81">
        <v>2900</v>
      </c>
      <c r="N17" s="81">
        <v>66</v>
      </c>
      <c r="O17" s="82">
        <v>7.6999999999999999E-2</v>
      </c>
      <c r="P17" s="71"/>
      <c r="Q17" s="71"/>
    </row>
    <row r="18" spans="1:17" s="47" customFormat="1" ht="18" customHeight="1" thickBot="1" x14ac:dyDescent="0.3">
      <c r="A18" s="18"/>
      <c r="B18" s="29" t="s">
        <v>803</v>
      </c>
      <c r="C18" s="76">
        <v>7.5</v>
      </c>
      <c r="D18" s="77">
        <v>10</v>
      </c>
      <c r="E18" s="76">
        <v>27</v>
      </c>
      <c r="F18" s="77">
        <v>50</v>
      </c>
      <c r="G18" s="78" t="s">
        <v>44</v>
      </c>
      <c r="H18" s="193"/>
      <c r="I18" s="189"/>
      <c r="J18" s="198">
        <v>100589388</v>
      </c>
      <c r="K18" s="184">
        <v>907.76023451043852</v>
      </c>
      <c r="L18" s="80" t="s">
        <v>23</v>
      </c>
      <c r="M18" s="81">
        <v>2900</v>
      </c>
      <c r="N18" s="81">
        <v>73</v>
      </c>
      <c r="O18" s="82">
        <v>7.6999999999999999E-2</v>
      </c>
      <c r="P18" s="71"/>
      <c r="Q18" s="71"/>
    </row>
    <row r="19" spans="1:17" s="47" customFormat="1" ht="18" customHeight="1" thickBot="1" x14ac:dyDescent="0.3">
      <c r="B19" s="29" t="s">
        <v>804</v>
      </c>
      <c r="C19" s="76">
        <v>1.1000000000000001</v>
      </c>
      <c r="D19" s="77">
        <v>1.5</v>
      </c>
      <c r="E19" s="76">
        <v>27</v>
      </c>
      <c r="F19" s="77">
        <v>10.1</v>
      </c>
      <c r="G19" s="78" t="s">
        <v>45</v>
      </c>
      <c r="H19" s="192"/>
      <c r="I19" s="186">
        <v>449.20415450877124</v>
      </c>
      <c r="J19" s="198">
        <v>100590021</v>
      </c>
      <c r="K19" s="184">
        <v>420.83664718031997</v>
      </c>
      <c r="L19" s="80" t="s">
        <v>24</v>
      </c>
      <c r="M19" s="81">
        <v>2900</v>
      </c>
      <c r="N19" s="81">
        <v>27</v>
      </c>
      <c r="O19" s="82">
        <v>4.8000000000000001E-2</v>
      </c>
      <c r="P19" s="71"/>
      <c r="Q19" s="71"/>
    </row>
    <row r="20" spans="1:17" s="47" customFormat="1" ht="18" customHeight="1" thickBot="1" x14ac:dyDescent="0.3">
      <c r="B20" s="29" t="s">
        <v>805</v>
      </c>
      <c r="C20" s="76">
        <v>1.5</v>
      </c>
      <c r="D20" s="77">
        <v>2</v>
      </c>
      <c r="E20" s="76">
        <v>27</v>
      </c>
      <c r="F20" s="77">
        <v>13.9</v>
      </c>
      <c r="G20" s="78" t="s">
        <v>45</v>
      </c>
      <c r="H20" s="192"/>
      <c r="I20" s="186">
        <v>468.21973634432641</v>
      </c>
      <c r="J20" s="198">
        <v>100590436</v>
      </c>
      <c r="K20" s="184">
        <v>437.98184391729603</v>
      </c>
      <c r="L20" s="80" t="s">
        <v>24</v>
      </c>
      <c r="M20" s="81">
        <v>2900</v>
      </c>
      <c r="N20" s="81">
        <v>29</v>
      </c>
      <c r="O20" s="82">
        <v>4.8000000000000001E-2</v>
      </c>
      <c r="P20" s="71"/>
      <c r="Q20" s="71"/>
    </row>
    <row r="21" spans="1:17" s="47" customFormat="1" ht="18" customHeight="1" thickBot="1" x14ac:dyDescent="0.3">
      <c r="B21" s="29" t="s">
        <v>806</v>
      </c>
      <c r="C21" s="76">
        <v>2.2000000000000002</v>
      </c>
      <c r="D21" s="77">
        <v>3</v>
      </c>
      <c r="E21" s="76">
        <v>36</v>
      </c>
      <c r="F21" s="77">
        <v>16</v>
      </c>
      <c r="G21" s="78" t="s">
        <v>45</v>
      </c>
      <c r="H21" s="192"/>
      <c r="I21" s="186">
        <v>490.35262667751374</v>
      </c>
      <c r="J21" s="198">
        <v>100590437</v>
      </c>
      <c r="K21" s="184">
        <v>461</v>
      </c>
      <c r="L21" s="80" t="s">
        <v>24</v>
      </c>
      <c r="M21" s="81">
        <v>2900</v>
      </c>
      <c r="N21" s="81">
        <v>34</v>
      </c>
      <c r="O21" s="82">
        <v>4.8000000000000001E-2</v>
      </c>
      <c r="P21" s="71"/>
      <c r="Q21" s="71"/>
    </row>
    <row r="22" spans="1:17" s="47" customFormat="1" ht="18" customHeight="1" thickBot="1" x14ac:dyDescent="0.3">
      <c r="B22" s="38" t="s">
        <v>807</v>
      </c>
      <c r="C22" s="76">
        <v>3</v>
      </c>
      <c r="D22" s="77">
        <v>4</v>
      </c>
      <c r="E22" s="76">
        <v>36</v>
      </c>
      <c r="F22" s="77">
        <v>21.5</v>
      </c>
      <c r="G22" s="78" t="s">
        <v>45</v>
      </c>
      <c r="H22" s="192"/>
      <c r="I22" s="186">
        <v>680.34</v>
      </c>
      <c r="J22" s="198">
        <v>100589389</v>
      </c>
      <c r="K22" s="184">
        <v>639</v>
      </c>
      <c r="L22" s="80" t="s">
        <v>24</v>
      </c>
      <c r="M22" s="81">
        <v>2900</v>
      </c>
      <c r="N22" s="81">
        <v>48</v>
      </c>
      <c r="O22" s="82">
        <v>6.9000000000000006E-2</v>
      </c>
      <c r="P22" s="71"/>
      <c r="Q22" s="71"/>
    </row>
    <row r="23" spans="1:17" s="47" customFormat="1" ht="18" customHeight="1" thickBot="1" x14ac:dyDescent="0.3">
      <c r="B23" s="38" t="s">
        <v>808</v>
      </c>
      <c r="C23" s="76">
        <v>4</v>
      </c>
      <c r="D23" s="77">
        <v>5.5</v>
      </c>
      <c r="E23" s="76">
        <v>36</v>
      </c>
      <c r="F23" s="77">
        <v>28.5</v>
      </c>
      <c r="G23" s="78" t="s">
        <v>45</v>
      </c>
      <c r="H23" s="193"/>
      <c r="I23" s="190"/>
      <c r="J23" s="198">
        <v>100589390</v>
      </c>
      <c r="K23" s="184">
        <v>682</v>
      </c>
      <c r="L23" s="80" t="s">
        <v>24</v>
      </c>
      <c r="M23" s="81">
        <v>2900</v>
      </c>
      <c r="N23" s="81">
        <v>50</v>
      </c>
      <c r="O23" s="82">
        <v>6.9000000000000006E-2</v>
      </c>
      <c r="P23" s="71"/>
      <c r="Q23" s="71"/>
    </row>
    <row r="24" spans="1:17" s="47" customFormat="1" ht="18" customHeight="1" thickBot="1" x14ac:dyDescent="0.3">
      <c r="B24" s="38" t="s">
        <v>809</v>
      </c>
      <c r="C24" s="76">
        <v>5.5</v>
      </c>
      <c r="D24" s="77">
        <v>7.5</v>
      </c>
      <c r="E24" s="76">
        <v>48</v>
      </c>
      <c r="F24" s="77">
        <v>28</v>
      </c>
      <c r="G24" s="78" t="s">
        <v>45</v>
      </c>
      <c r="H24" s="193"/>
      <c r="I24" s="190"/>
      <c r="J24" s="198">
        <v>100589391</v>
      </c>
      <c r="K24" s="184">
        <v>825</v>
      </c>
      <c r="L24" s="80" t="s">
        <v>24</v>
      </c>
      <c r="M24" s="81">
        <v>2900</v>
      </c>
      <c r="N24" s="81">
        <v>64</v>
      </c>
      <c r="O24" s="82">
        <v>7.8E-2</v>
      </c>
      <c r="P24" s="71"/>
      <c r="Q24" s="71"/>
    </row>
    <row r="25" spans="1:17" s="47" customFormat="1" ht="18" customHeight="1" thickBot="1" x14ac:dyDescent="0.3">
      <c r="B25" s="38" t="s">
        <v>810</v>
      </c>
      <c r="C25" s="76">
        <v>7.5</v>
      </c>
      <c r="D25" s="77">
        <v>10</v>
      </c>
      <c r="E25" s="76">
        <v>54</v>
      </c>
      <c r="F25" s="77">
        <v>34.4</v>
      </c>
      <c r="G25" s="78" t="s">
        <v>45</v>
      </c>
      <c r="H25" s="193"/>
      <c r="I25" s="190"/>
      <c r="J25" s="198">
        <v>100590438</v>
      </c>
      <c r="K25" s="184">
        <v>864.74137724311674</v>
      </c>
      <c r="L25" s="80" t="s">
        <v>24</v>
      </c>
      <c r="M25" s="81">
        <v>2900</v>
      </c>
      <c r="N25" s="81">
        <v>71</v>
      </c>
      <c r="O25" s="82">
        <v>7.8E-2</v>
      </c>
      <c r="P25" s="71"/>
      <c r="Q25" s="71"/>
    </row>
    <row r="26" spans="1:17" s="47" customFormat="1" ht="18" customHeight="1" thickBot="1" x14ac:dyDescent="0.3">
      <c r="B26" s="29" t="s">
        <v>811</v>
      </c>
      <c r="C26" s="76">
        <v>4</v>
      </c>
      <c r="D26" s="77">
        <v>5.5</v>
      </c>
      <c r="E26" s="76">
        <v>72</v>
      </c>
      <c r="F26" s="77">
        <v>14.5</v>
      </c>
      <c r="G26" s="78" t="s">
        <v>46</v>
      </c>
      <c r="H26" s="193"/>
      <c r="I26" s="190"/>
      <c r="J26" s="198">
        <v>100590439</v>
      </c>
      <c r="K26" s="184">
        <v>759</v>
      </c>
      <c r="L26" s="80" t="s">
        <v>24</v>
      </c>
      <c r="M26" s="81">
        <v>2900</v>
      </c>
      <c r="N26" s="81">
        <v>56</v>
      </c>
      <c r="O26" s="82">
        <v>0.1</v>
      </c>
      <c r="P26" s="71"/>
      <c r="Q26" s="71"/>
    </row>
    <row r="27" spans="1:17" s="47" customFormat="1" ht="18" customHeight="1" thickBot="1" x14ac:dyDescent="0.3">
      <c r="B27" s="29" t="s">
        <v>812</v>
      </c>
      <c r="C27" s="76">
        <v>5.5</v>
      </c>
      <c r="D27" s="77">
        <v>7.5</v>
      </c>
      <c r="E27" s="76">
        <v>72</v>
      </c>
      <c r="F27" s="77">
        <v>19</v>
      </c>
      <c r="G27" s="78" t="s">
        <v>46</v>
      </c>
      <c r="H27" s="193"/>
      <c r="I27" s="190"/>
      <c r="J27" s="198">
        <v>100589392</v>
      </c>
      <c r="K27" s="184">
        <v>840.11464011182397</v>
      </c>
      <c r="L27" s="80" t="s">
        <v>24</v>
      </c>
      <c r="M27" s="81">
        <v>2900</v>
      </c>
      <c r="N27" s="81">
        <v>68</v>
      </c>
      <c r="O27" s="82">
        <v>0.1</v>
      </c>
      <c r="P27" s="71"/>
      <c r="Q27" s="71"/>
    </row>
    <row r="28" spans="1:17" s="47" customFormat="1" ht="18" customHeight="1" thickBot="1" x14ac:dyDescent="0.3">
      <c r="B28" s="29" t="s">
        <v>813</v>
      </c>
      <c r="C28" s="76">
        <v>7.5</v>
      </c>
      <c r="D28" s="77">
        <v>10</v>
      </c>
      <c r="E28" s="76">
        <v>84</v>
      </c>
      <c r="F28" s="77">
        <v>23</v>
      </c>
      <c r="G28" s="78" t="s">
        <v>46</v>
      </c>
      <c r="H28" s="193"/>
      <c r="I28" s="190"/>
      <c r="J28" s="198">
        <v>100589393</v>
      </c>
      <c r="K28" s="184">
        <v>883</v>
      </c>
      <c r="L28" s="80" t="s">
        <v>24</v>
      </c>
      <c r="M28" s="81">
        <v>2900</v>
      </c>
      <c r="N28" s="81">
        <v>74</v>
      </c>
      <c r="O28" s="82">
        <v>0.1</v>
      </c>
      <c r="P28" s="71"/>
      <c r="Q28" s="71"/>
    </row>
    <row r="29" spans="1:17" s="47" customFormat="1" ht="18" customHeight="1" thickBot="1" x14ac:dyDescent="0.3">
      <c r="B29" s="29" t="s">
        <v>814</v>
      </c>
      <c r="C29" s="76">
        <v>9.1999999999999993</v>
      </c>
      <c r="D29" s="77">
        <v>12.5</v>
      </c>
      <c r="E29" s="76">
        <v>84</v>
      </c>
      <c r="F29" s="77">
        <v>28</v>
      </c>
      <c r="G29" s="78" t="s">
        <v>46</v>
      </c>
      <c r="H29" s="193"/>
      <c r="I29" s="190"/>
      <c r="J29" s="198">
        <v>100590440</v>
      </c>
      <c r="K29" s="184">
        <v>1277</v>
      </c>
      <c r="L29" s="80" t="s">
        <v>24</v>
      </c>
      <c r="M29" s="81">
        <v>2900</v>
      </c>
      <c r="N29" s="81">
        <v>90</v>
      </c>
      <c r="O29" s="82">
        <v>0.13300000000000001</v>
      </c>
      <c r="P29" s="71"/>
      <c r="Q29" s="71"/>
    </row>
    <row r="30" spans="1:17" s="47" customFormat="1" ht="18" customHeight="1" thickBot="1" x14ac:dyDescent="0.3">
      <c r="B30" s="29" t="s">
        <v>815</v>
      </c>
      <c r="C30" s="76">
        <v>11</v>
      </c>
      <c r="D30" s="77">
        <v>15</v>
      </c>
      <c r="E30" s="76">
        <v>90</v>
      </c>
      <c r="F30" s="77">
        <v>30.8</v>
      </c>
      <c r="G30" s="78" t="s">
        <v>46</v>
      </c>
      <c r="H30" s="193"/>
      <c r="I30" s="190"/>
      <c r="J30" s="198">
        <v>100590441</v>
      </c>
      <c r="K30" s="184">
        <v>1648.7444643975648</v>
      </c>
      <c r="L30" s="80" t="s">
        <v>24</v>
      </c>
      <c r="M30" s="81">
        <v>2900</v>
      </c>
      <c r="N30" s="81">
        <v>106</v>
      </c>
      <c r="O30" s="82">
        <v>0.13300000000000001</v>
      </c>
      <c r="P30" s="71"/>
      <c r="Q30" s="71"/>
    </row>
    <row r="31" spans="1:17" s="47" customFormat="1" ht="18" customHeight="1" thickBot="1" x14ac:dyDescent="0.3">
      <c r="B31" s="29" t="s">
        <v>816</v>
      </c>
      <c r="C31" s="76">
        <v>15</v>
      </c>
      <c r="D31" s="77">
        <v>20</v>
      </c>
      <c r="E31" s="76">
        <v>90</v>
      </c>
      <c r="F31" s="77">
        <v>37.799999999999997</v>
      </c>
      <c r="G31" s="78" t="s">
        <v>46</v>
      </c>
      <c r="H31" s="193"/>
      <c r="I31" s="190"/>
      <c r="J31" s="198">
        <v>100590442</v>
      </c>
      <c r="K31" s="184">
        <v>1789</v>
      </c>
      <c r="L31" s="80" t="s">
        <v>24</v>
      </c>
      <c r="M31" s="81">
        <v>2900</v>
      </c>
      <c r="N31" s="81">
        <v>134</v>
      </c>
      <c r="O31" s="82">
        <v>0.157</v>
      </c>
      <c r="P31" s="71"/>
      <c r="Q31" s="71"/>
    </row>
    <row r="32" spans="1:17" s="47" customFormat="1" ht="18" customHeight="1" thickBot="1" x14ac:dyDescent="0.3">
      <c r="B32" s="29" t="s">
        <v>817</v>
      </c>
      <c r="C32" s="76">
        <v>11</v>
      </c>
      <c r="D32" s="77">
        <v>15</v>
      </c>
      <c r="E32" s="76">
        <v>120</v>
      </c>
      <c r="F32" s="77">
        <v>24.5</v>
      </c>
      <c r="G32" s="78" t="s">
        <v>47</v>
      </c>
      <c r="H32" s="193"/>
      <c r="I32" s="190"/>
      <c r="J32" s="198">
        <v>100590443</v>
      </c>
      <c r="K32" s="184">
        <v>1640</v>
      </c>
      <c r="L32" s="80" t="s">
        <v>24</v>
      </c>
      <c r="M32" s="81">
        <v>2900</v>
      </c>
      <c r="N32" s="81">
        <v>113</v>
      </c>
      <c r="O32" s="82">
        <v>0.17</v>
      </c>
      <c r="P32" s="71"/>
      <c r="Q32" s="71"/>
    </row>
    <row r="33" spans="1:17" s="47" customFormat="1" ht="18" customHeight="1" thickBot="1" x14ac:dyDescent="0.3">
      <c r="B33" s="29" t="s">
        <v>818</v>
      </c>
      <c r="C33" s="76">
        <v>15</v>
      </c>
      <c r="D33" s="77">
        <v>20</v>
      </c>
      <c r="E33" s="76">
        <v>138</v>
      </c>
      <c r="F33" s="77">
        <v>28.5</v>
      </c>
      <c r="G33" s="78" t="s">
        <v>47</v>
      </c>
      <c r="H33" s="193"/>
      <c r="I33" s="190"/>
      <c r="J33" s="198">
        <v>100590444</v>
      </c>
      <c r="K33" s="184">
        <v>1779.983152147872</v>
      </c>
      <c r="L33" s="80" t="s">
        <v>24</v>
      </c>
      <c r="M33" s="81">
        <v>2900</v>
      </c>
      <c r="N33" s="81">
        <v>143</v>
      </c>
      <c r="O33" s="82">
        <v>0.19900000000000001</v>
      </c>
      <c r="P33" s="71"/>
      <c r="Q33" s="71"/>
    </row>
    <row r="34" spans="1:17" s="47" customFormat="1" ht="18" customHeight="1" thickBot="1" x14ac:dyDescent="0.3">
      <c r="B34" s="29" t="s">
        <v>819</v>
      </c>
      <c r="C34" s="76">
        <v>18.5</v>
      </c>
      <c r="D34" s="77">
        <v>25</v>
      </c>
      <c r="E34" s="76">
        <v>138</v>
      </c>
      <c r="F34" s="77">
        <v>33.799999999999997</v>
      </c>
      <c r="G34" s="78" t="s">
        <v>47</v>
      </c>
      <c r="H34" s="193"/>
      <c r="I34" s="190"/>
      <c r="J34" s="198">
        <v>100590445</v>
      </c>
      <c r="K34" s="184">
        <v>2050</v>
      </c>
      <c r="L34" s="80" t="s">
        <v>24</v>
      </c>
      <c r="M34" s="81">
        <v>2900</v>
      </c>
      <c r="N34" s="81">
        <v>150</v>
      </c>
      <c r="O34" s="82">
        <v>0.19900000000000001</v>
      </c>
      <c r="P34" s="71"/>
      <c r="Q34" s="71"/>
    </row>
    <row r="35" spans="1:17" s="47" customFormat="1" ht="18" customHeight="1" thickBot="1" x14ac:dyDescent="0.3">
      <c r="B35" s="29" t="s">
        <v>820</v>
      </c>
      <c r="C35" s="76">
        <v>22</v>
      </c>
      <c r="D35" s="77">
        <v>30</v>
      </c>
      <c r="E35" s="76">
        <v>138</v>
      </c>
      <c r="F35" s="77">
        <v>41</v>
      </c>
      <c r="G35" s="78" t="s">
        <v>47</v>
      </c>
      <c r="H35" s="193"/>
      <c r="I35" s="190"/>
      <c r="J35" s="198">
        <v>100590446</v>
      </c>
      <c r="K35" s="184">
        <v>2570</v>
      </c>
      <c r="L35" s="80" t="s">
        <v>24</v>
      </c>
      <c r="M35" s="81">
        <v>2900</v>
      </c>
      <c r="N35" s="81">
        <v>212</v>
      </c>
      <c r="O35" s="82">
        <v>0.221</v>
      </c>
      <c r="P35" s="71"/>
      <c r="Q35" s="71"/>
    </row>
    <row r="36" spans="1:17" s="47" customFormat="1" ht="18" customHeight="1" thickBot="1" x14ac:dyDescent="0.3">
      <c r="B36" s="84" t="s">
        <v>821</v>
      </c>
      <c r="C36" s="76">
        <v>30</v>
      </c>
      <c r="D36" s="77">
        <v>40</v>
      </c>
      <c r="E36" s="76">
        <v>138</v>
      </c>
      <c r="F36" s="77">
        <v>54.5</v>
      </c>
      <c r="G36" s="78" t="s">
        <v>47</v>
      </c>
      <c r="H36" s="193"/>
      <c r="I36" s="190"/>
      <c r="J36" s="199">
        <v>100590447</v>
      </c>
      <c r="K36" s="200">
        <v>3210</v>
      </c>
      <c r="L36" s="80" t="s">
        <v>24</v>
      </c>
      <c r="M36" s="81">
        <v>2900</v>
      </c>
      <c r="N36" s="81">
        <v>222</v>
      </c>
      <c r="O36" s="82">
        <v>0.23800000000000002</v>
      </c>
      <c r="P36" s="71"/>
      <c r="Q36" s="71"/>
    </row>
    <row r="37" spans="1:17" s="271" customFormat="1" ht="8.25" customHeight="1" thickBot="1" x14ac:dyDescent="0.3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7" ht="15" customHeight="1" x14ac:dyDescent="0.25">
      <c r="B38" s="180" t="s">
        <v>32</v>
      </c>
      <c r="C38" s="45" t="s">
        <v>33</v>
      </c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/>
      <c r="Q38" s="1"/>
    </row>
    <row r="39" spans="1:17" ht="15" customHeight="1" x14ac:dyDescent="0.25">
      <c r="B39" s="181" t="s">
        <v>308</v>
      </c>
      <c r="C39" s="50" t="s">
        <v>701</v>
      </c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1"/>
      <c r="Q39" s="1"/>
    </row>
    <row r="40" spans="1:17" s="167" customFormat="1" ht="15" customHeight="1" x14ac:dyDescent="0.25">
      <c r="B40" s="181" t="s">
        <v>702</v>
      </c>
      <c r="C40" s="50" t="s">
        <v>703</v>
      </c>
      <c r="D40" s="5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1:17" ht="15" customHeight="1" x14ac:dyDescent="0.25">
      <c r="B41" s="181" t="s">
        <v>36</v>
      </c>
      <c r="C41" s="53" t="s">
        <v>37</v>
      </c>
      <c r="D41" s="53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1"/>
      <c r="Q41" s="1"/>
    </row>
    <row r="42" spans="1:17" ht="15" customHeight="1" x14ac:dyDescent="0.25">
      <c r="B42" s="181" t="s">
        <v>38</v>
      </c>
      <c r="C42" s="53" t="s">
        <v>39</v>
      </c>
      <c r="D42" s="53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1"/>
      <c r="Q42" s="1"/>
    </row>
    <row r="43" spans="1:17" s="167" customFormat="1" ht="15" customHeight="1" x14ac:dyDescent="0.25">
      <c r="B43" s="181" t="s">
        <v>704</v>
      </c>
      <c r="C43" s="280" t="s">
        <v>705</v>
      </c>
      <c r="D43" s="206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</row>
    <row r="44" spans="1:17" x14ac:dyDescent="0.25">
      <c r="A44" s="47"/>
    </row>
    <row r="45" spans="1:17" x14ac:dyDescent="0.25">
      <c r="A45" s="47"/>
    </row>
    <row r="46" spans="1:17" x14ac:dyDescent="0.25">
      <c r="A46" s="47"/>
    </row>
    <row r="47" spans="1:17" x14ac:dyDescent="0.25">
      <c r="A47" s="47"/>
    </row>
    <row r="48" spans="1:17" x14ac:dyDescent="0.25">
      <c r="A48" s="47"/>
    </row>
    <row r="49" spans="1:1" x14ac:dyDescent="0.25">
      <c r="A49" s="47"/>
    </row>
    <row r="50" spans="1:1" x14ac:dyDescent="0.25">
      <c r="A50" s="47"/>
    </row>
    <row r="51" spans="1:1" x14ac:dyDescent="0.25">
      <c r="A51" s="47"/>
    </row>
    <row r="52" spans="1:1" x14ac:dyDescent="0.25">
      <c r="A52" s="47"/>
    </row>
    <row r="53" spans="1:1" x14ac:dyDescent="0.25">
      <c r="A53" s="47"/>
    </row>
    <row r="54" spans="1:1" x14ac:dyDescent="0.25">
      <c r="A54" s="47"/>
    </row>
    <row r="55" spans="1:1" x14ac:dyDescent="0.25">
      <c r="A55" s="47"/>
    </row>
    <row r="56" spans="1:1" x14ac:dyDescent="0.25">
      <c r="A56" s="47"/>
    </row>
    <row r="57" spans="1:1" x14ac:dyDescent="0.25">
      <c r="A57" s="47"/>
    </row>
    <row r="58" spans="1:1" x14ac:dyDescent="0.25">
      <c r="A58" s="47"/>
    </row>
    <row r="59" spans="1:1" x14ac:dyDescent="0.25">
      <c r="A59" s="47"/>
    </row>
    <row r="60" spans="1:1" x14ac:dyDescent="0.25">
      <c r="A60" s="47"/>
    </row>
    <row r="61" spans="1:1" x14ac:dyDescent="0.25">
      <c r="A61" s="47"/>
    </row>
    <row r="62" spans="1:1" x14ac:dyDescent="0.25">
      <c r="A62" s="47"/>
    </row>
    <row r="63" spans="1:1" x14ac:dyDescent="0.25">
      <c r="A63" s="47"/>
    </row>
    <row r="64" spans="1:1" x14ac:dyDescent="0.25">
      <c r="A64" s="47"/>
    </row>
    <row r="65" spans="1:1" x14ac:dyDescent="0.25">
      <c r="A65" s="47"/>
    </row>
    <row r="66" spans="1:1" x14ac:dyDescent="0.25">
      <c r="A66" s="47"/>
    </row>
    <row r="67" spans="1:1" x14ac:dyDescent="0.25">
      <c r="A67" s="47"/>
    </row>
    <row r="68" spans="1:1" x14ac:dyDescent="0.25">
      <c r="A68" s="47"/>
    </row>
    <row r="69" spans="1:1" x14ac:dyDescent="0.25">
      <c r="A69" s="47"/>
    </row>
    <row r="70" spans="1:1" x14ac:dyDescent="0.25">
      <c r="A70" s="47"/>
    </row>
    <row r="71" spans="1:1" x14ac:dyDescent="0.25">
      <c r="A71" s="47"/>
    </row>
    <row r="72" spans="1:1" x14ac:dyDescent="0.25">
      <c r="A72" s="47"/>
    </row>
    <row r="73" spans="1:1" x14ac:dyDescent="0.25">
      <c r="A73" s="47"/>
    </row>
    <row r="74" spans="1:1" x14ac:dyDescent="0.25">
      <c r="A74" s="47"/>
    </row>
    <row r="75" spans="1:1" x14ac:dyDescent="0.25">
      <c r="A75" s="47"/>
    </row>
    <row r="76" spans="1:1" x14ac:dyDescent="0.25">
      <c r="A76" s="47"/>
    </row>
    <row r="77" spans="1:1" x14ac:dyDescent="0.25">
      <c r="A77" s="47"/>
    </row>
    <row r="78" spans="1:1" x14ac:dyDescent="0.25">
      <c r="A78" s="47"/>
    </row>
    <row r="79" spans="1:1" x14ac:dyDescent="0.25">
      <c r="A79" s="47"/>
    </row>
    <row r="80" spans="1:1" x14ac:dyDescent="0.25">
      <c r="A80" s="47"/>
    </row>
    <row r="81" spans="1:1" x14ac:dyDescent="0.25">
      <c r="A81" s="47"/>
    </row>
    <row r="82" spans="1:1" x14ac:dyDescent="0.25">
      <c r="A82" s="47"/>
    </row>
    <row r="83" spans="1:1" x14ac:dyDescent="0.25">
      <c r="A83" s="47"/>
    </row>
    <row r="84" spans="1:1" x14ac:dyDescent="0.25">
      <c r="A84" s="47"/>
    </row>
    <row r="85" spans="1:1" x14ac:dyDescent="0.25">
      <c r="A85" s="47"/>
    </row>
    <row r="86" spans="1:1" x14ac:dyDescent="0.25">
      <c r="A86" s="47"/>
    </row>
    <row r="87" spans="1:1" x14ac:dyDescent="0.25">
      <c r="A87" s="47"/>
    </row>
    <row r="88" spans="1:1" x14ac:dyDescent="0.25">
      <c r="A88" s="47"/>
    </row>
    <row r="89" spans="1:1" x14ac:dyDescent="0.25">
      <c r="A89" s="47"/>
    </row>
    <row r="90" spans="1:1" x14ac:dyDescent="0.25">
      <c r="A90" s="47"/>
    </row>
    <row r="91" spans="1:1" x14ac:dyDescent="0.25">
      <c r="A91" s="47"/>
    </row>
    <row r="92" spans="1:1" x14ac:dyDescent="0.25">
      <c r="A92" s="47"/>
    </row>
    <row r="93" spans="1:1" x14ac:dyDescent="0.25">
      <c r="A93" s="47"/>
    </row>
    <row r="94" spans="1:1" x14ac:dyDescent="0.25">
      <c r="A94" s="47"/>
    </row>
    <row r="95" spans="1:1" x14ac:dyDescent="0.25">
      <c r="A95" s="47"/>
    </row>
    <row r="96" spans="1:1" x14ac:dyDescent="0.25">
      <c r="A96" s="47"/>
    </row>
    <row r="97" spans="1:1" x14ac:dyDescent="0.25">
      <c r="A97" s="47"/>
    </row>
    <row r="98" spans="1:1" x14ac:dyDescent="0.25">
      <c r="A98" s="47"/>
    </row>
    <row r="99" spans="1:1" x14ac:dyDescent="0.25">
      <c r="A99" s="47"/>
    </row>
    <row r="100" spans="1:1" x14ac:dyDescent="0.25">
      <c r="A100" s="47"/>
    </row>
    <row r="101" spans="1:1" x14ac:dyDescent="0.25">
      <c r="A101" s="47"/>
    </row>
    <row r="102" spans="1:1" x14ac:dyDescent="0.25">
      <c r="A102" s="47"/>
    </row>
    <row r="103" spans="1:1" x14ac:dyDescent="0.25">
      <c r="A103" s="47"/>
    </row>
    <row r="104" spans="1:1" x14ac:dyDescent="0.25">
      <c r="A104" s="47"/>
    </row>
    <row r="105" spans="1:1" x14ac:dyDescent="0.25">
      <c r="A105" s="47"/>
    </row>
    <row r="106" spans="1:1" x14ac:dyDescent="0.25">
      <c r="A106" s="47"/>
    </row>
    <row r="107" spans="1:1" x14ac:dyDescent="0.25">
      <c r="A107" s="47"/>
    </row>
    <row r="108" spans="1:1" x14ac:dyDescent="0.25">
      <c r="A108" s="47"/>
    </row>
    <row r="109" spans="1:1" x14ac:dyDescent="0.25">
      <c r="A109" s="47"/>
    </row>
    <row r="110" spans="1:1" x14ac:dyDescent="0.25">
      <c r="A110" s="47"/>
    </row>
    <row r="111" spans="1:1" x14ac:dyDescent="0.25">
      <c r="A111" s="47"/>
    </row>
    <row r="112" spans="1:1" x14ac:dyDescent="0.25">
      <c r="A112" s="47"/>
    </row>
    <row r="113" spans="1:1" x14ac:dyDescent="0.25">
      <c r="A113" s="47"/>
    </row>
    <row r="114" spans="1:1" x14ac:dyDescent="0.25">
      <c r="A114" s="47"/>
    </row>
    <row r="115" spans="1:1" x14ac:dyDescent="0.25">
      <c r="A115" s="47"/>
    </row>
    <row r="116" spans="1:1" x14ac:dyDescent="0.25">
      <c r="A116" s="47"/>
    </row>
    <row r="117" spans="1:1" x14ac:dyDescent="0.25">
      <c r="A117" s="47"/>
    </row>
    <row r="118" spans="1:1" x14ac:dyDescent="0.25">
      <c r="A118" s="47"/>
    </row>
    <row r="119" spans="1:1" x14ac:dyDescent="0.25">
      <c r="A119" s="47"/>
    </row>
  </sheetData>
  <mergeCells count="8">
    <mergeCell ref="M8:M9"/>
    <mergeCell ref="B8:B10"/>
    <mergeCell ref="C8:D9"/>
    <mergeCell ref="E8:F8"/>
    <mergeCell ref="L8:L10"/>
    <mergeCell ref="J9:K9"/>
    <mergeCell ref="H8:K8"/>
    <mergeCell ref="H9:I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38"/>
  <sheetViews>
    <sheetView zoomScaleNormal="100" workbookViewId="0">
      <selection activeCell="N1" sqref="N1:N1048576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67" customWidth="1"/>
    <col min="9" max="9" width="10.85546875" style="167" customWidth="1"/>
    <col min="10" max="10" width="14.28515625" style="167" customWidth="1"/>
    <col min="11" max="15" width="10.85546875" style="1" customWidth="1"/>
    <col min="16" max="16" width="10.5703125" style="1" customWidth="1"/>
    <col min="17" max="259" width="9.140625" style="1"/>
    <col min="260" max="260" width="34.28515625" style="1" customWidth="1"/>
    <col min="261" max="261" width="25.7109375" style="1" customWidth="1"/>
    <col min="262" max="265" width="8.5703125" style="1" customWidth="1"/>
    <col min="266" max="266" width="10.85546875" style="1" customWidth="1"/>
    <col min="267" max="267" width="21.5703125" style="1" customWidth="1"/>
    <col min="268" max="271" width="10.85546875" style="1" customWidth="1"/>
    <col min="272" max="272" width="10.5703125" style="1" customWidth="1"/>
    <col min="273" max="515" width="9.140625" style="1"/>
    <col min="516" max="516" width="34.28515625" style="1" customWidth="1"/>
    <col min="517" max="517" width="25.7109375" style="1" customWidth="1"/>
    <col min="518" max="521" width="8.5703125" style="1" customWidth="1"/>
    <col min="522" max="522" width="10.85546875" style="1" customWidth="1"/>
    <col min="523" max="523" width="21.5703125" style="1" customWidth="1"/>
    <col min="524" max="527" width="10.85546875" style="1" customWidth="1"/>
    <col min="528" max="528" width="10.5703125" style="1" customWidth="1"/>
    <col min="529" max="771" width="9.140625" style="1"/>
    <col min="772" max="772" width="34.28515625" style="1" customWidth="1"/>
    <col min="773" max="773" width="25.7109375" style="1" customWidth="1"/>
    <col min="774" max="777" width="8.5703125" style="1" customWidth="1"/>
    <col min="778" max="778" width="10.85546875" style="1" customWidth="1"/>
    <col min="779" max="779" width="21.5703125" style="1" customWidth="1"/>
    <col min="780" max="783" width="10.85546875" style="1" customWidth="1"/>
    <col min="784" max="784" width="10.5703125" style="1" customWidth="1"/>
    <col min="785" max="1027" width="9.140625" style="1"/>
    <col min="1028" max="1028" width="34.28515625" style="1" customWidth="1"/>
    <col min="1029" max="1029" width="25.7109375" style="1" customWidth="1"/>
    <col min="1030" max="1033" width="8.5703125" style="1" customWidth="1"/>
    <col min="1034" max="1034" width="10.85546875" style="1" customWidth="1"/>
    <col min="1035" max="1035" width="21.5703125" style="1" customWidth="1"/>
    <col min="1036" max="1039" width="10.85546875" style="1" customWidth="1"/>
    <col min="1040" max="1040" width="10.5703125" style="1" customWidth="1"/>
    <col min="1041" max="1283" width="9.140625" style="1"/>
    <col min="1284" max="1284" width="34.28515625" style="1" customWidth="1"/>
    <col min="1285" max="1285" width="25.7109375" style="1" customWidth="1"/>
    <col min="1286" max="1289" width="8.5703125" style="1" customWidth="1"/>
    <col min="1290" max="1290" width="10.85546875" style="1" customWidth="1"/>
    <col min="1291" max="1291" width="21.5703125" style="1" customWidth="1"/>
    <col min="1292" max="1295" width="10.85546875" style="1" customWidth="1"/>
    <col min="1296" max="1296" width="10.5703125" style="1" customWidth="1"/>
    <col min="1297" max="1539" width="9.140625" style="1"/>
    <col min="1540" max="1540" width="34.28515625" style="1" customWidth="1"/>
    <col min="1541" max="1541" width="25.7109375" style="1" customWidth="1"/>
    <col min="1542" max="1545" width="8.5703125" style="1" customWidth="1"/>
    <col min="1546" max="1546" width="10.85546875" style="1" customWidth="1"/>
    <col min="1547" max="1547" width="21.5703125" style="1" customWidth="1"/>
    <col min="1548" max="1551" width="10.85546875" style="1" customWidth="1"/>
    <col min="1552" max="1552" width="10.5703125" style="1" customWidth="1"/>
    <col min="1553" max="1795" width="9.140625" style="1"/>
    <col min="1796" max="1796" width="34.28515625" style="1" customWidth="1"/>
    <col min="1797" max="1797" width="25.7109375" style="1" customWidth="1"/>
    <col min="1798" max="1801" width="8.5703125" style="1" customWidth="1"/>
    <col min="1802" max="1802" width="10.85546875" style="1" customWidth="1"/>
    <col min="1803" max="1803" width="21.5703125" style="1" customWidth="1"/>
    <col min="1804" max="1807" width="10.85546875" style="1" customWidth="1"/>
    <col min="1808" max="1808" width="10.5703125" style="1" customWidth="1"/>
    <col min="1809" max="2051" width="9.140625" style="1"/>
    <col min="2052" max="2052" width="34.28515625" style="1" customWidth="1"/>
    <col min="2053" max="2053" width="25.7109375" style="1" customWidth="1"/>
    <col min="2054" max="2057" width="8.5703125" style="1" customWidth="1"/>
    <col min="2058" max="2058" width="10.85546875" style="1" customWidth="1"/>
    <col min="2059" max="2059" width="21.5703125" style="1" customWidth="1"/>
    <col min="2060" max="2063" width="10.85546875" style="1" customWidth="1"/>
    <col min="2064" max="2064" width="10.5703125" style="1" customWidth="1"/>
    <col min="2065" max="2307" width="9.140625" style="1"/>
    <col min="2308" max="2308" width="34.28515625" style="1" customWidth="1"/>
    <col min="2309" max="2309" width="25.7109375" style="1" customWidth="1"/>
    <col min="2310" max="2313" width="8.5703125" style="1" customWidth="1"/>
    <col min="2314" max="2314" width="10.85546875" style="1" customWidth="1"/>
    <col min="2315" max="2315" width="21.5703125" style="1" customWidth="1"/>
    <col min="2316" max="2319" width="10.85546875" style="1" customWidth="1"/>
    <col min="2320" max="2320" width="10.5703125" style="1" customWidth="1"/>
    <col min="2321" max="2563" width="9.140625" style="1"/>
    <col min="2564" max="2564" width="34.28515625" style="1" customWidth="1"/>
    <col min="2565" max="2565" width="25.7109375" style="1" customWidth="1"/>
    <col min="2566" max="2569" width="8.5703125" style="1" customWidth="1"/>
    <col min="2570" max="2570" width="10.85546875" style="1" customWidth="1"/>
    <col min="2571" max="2571" width="21.5703125" style="1" customWidth="1"/>
    <col min="2572" max="2575" width="10.85546875" style="1" customWidth="1"/>
    <col min="2576" max="2576" width="10.5703125" style="1" customWidth="1"/>
    <col min="2577" max="2819" width="9.140625" style="1"/>
    <col min="2820" max="2820" width="34.28515625" style="1" customWidth="1"/>
    <col min="2821" max="2821" width="25.7109375" style="1" customWidth="1"/>
    <col min="2822" max="2825" width="8.5703125" style="1" customWidth="1"/>
    <col min="2826" max="2826" width="10.85546875" style="1" customWidth="1"/>
    <col min="2827" max="2827" width="21.5703125" style="1" customWidth="1"/>
    <col min="2828" max="2831" width="10.85546875" style="1" customWidth="1"/>
    <col min="2832" max="2832" width="10.5703125" style="1" customWidth="1"/>
    <col min="2833" max="3075" width="9.140625" style="1"/>
    <col min="3076" max="3076" width="34.28515625" style="1" customWidth="1"/>
    <col min="3077" max="3077" width="25.7109375" style="1" customWidth="1"/>
    <col min="3078" max="3081" width="8.5703125" style="1" customWidth="1"/>
    <col min="3082" max="3082" width="10.85546875" style="1" customWidth="1"/>
    <col min="3083" max="3083" width="21.5703125" style="1" customWidth="1"/>
    <col min="3084" max="3087" width="10.85546875" style="1" customWidth="1"/>
    <col min="3088" max="3088" width="10.5703125" style="1" customWidth="1"/>
    <col min="3089" max="3331" width="9.140625" style="1"/>
    <col min="3332" max="3332" width="34.28515625" style="1" customWidth="1"/>
    <col min="3333" max="3333" width="25.7109375" style="1" customWidth="1"/>
    <col min="3334" max="3337" width="8.5703125" style="1" customWidth="1"/>
    <col min="3338" max="3338" width="10.85546875" style="1" customWidth="1"/>
    <col min="3339" max="3339" width="21.5703125" style="1" customWidth="1"/>
    <col min="3340" max="3343" width="10.85546875" style="1" customWidth="1"/>
    <col min="3344" max="3344" width="10.5703125" style="1" customWidth="1"/>
    <col min="3345" max="3587" width="9.140625" style="1"/>
    <col min="3588" max="3588" width="34.28515625" style="1" customWidth="1"/>
    <col min="3589" max="3589" width="25.7109375" style="1" customWidth="1"/>
    <col min="3590" max="3593" width="8.5703125" style="1" customWidth="1"/>
    <col min="3594" max="3594" width="10.85546875" style="1" customWidth="1"/>
    <col min="3595" max="3595" width="21.5703125" style="1" customWidth="1"/>
    <col min="3596" max="3599" width="10.85546875" style="1" customWidth="1"/>
    <col min="3600" max="3600" width="10.5703125" style="1" customWidth="1"/>
    <col min="3601" max="3843" width="9.140625" style="1"/>
    <col min="3844" max="3844" width="34.28515625" style="1" customWidth="1"/>
    <col min="3845" max="3845" width="25.7109375" style="1" customWidth="1"/>
    <col min="3846" max="3849" width="8.5703125" style="1" customWidth="1"/>
    <col min="3850" max="3850" width="10.85546875" style="1" customWidth="1"/>
    <col min="3851" max="3851" width="21.5703125" style="1" customWidth="1"/>
    <col min="3852" max="3855" width="10.85546875" style="1" customWidth="1"/>
    <col min="3856" max="3856" width="10.5703125" style="1" customWidth="1"/>
    <col min="3857" max="4099" width="9.140625" style="1"/>
    <col min="4100" max="4100" width="34.28515625" style="1" customWidth="1"/>
    <col min="4101" max="4101" width="25.7109375" style="1" customWidth="1"/>
    <col min="4102" max="4105" width="8.5703125" style="1" customWidth="1"/>
    <col min="4106" max="4106" width="10.85546875" style="1" customWidth="1"/>
    <col min="4107" max="4107" width="21.5703125" style="1" customWidth="1"/>
    <col min="4108" max="4111" width="10.85546875" style="1" customWidth="1"/>
    <col min="4112" max="4112" width="10.5703125" style="1" customWidth="1"/>
    <col min="4113" max="4355" width="9.140625" style="1"/>
    <col min="4356" max="4356" width="34.28515625" style="1" customWidth="1"/>
    <col min="4357" max="4357" width="25.7109375" style="1" customWidth="1"/>
    <col min="4358" max="4361" width="8.5703125" style="1" customWidth="1"/>
    <col min="4362" max="4362" width="10.85546875" style="1" customWidth="1"/>
    <col min="4363" max="4363" width="21.5703125" style="1" customWidth="1"/>
    <col min="4364" max="4367" width="10.85546875" style="1" customWidth="1"/>
    <col min="4368" max="4368" width="10.5703125" style="1" customWidth="1"/>
    <col min="4369" max="4611" width="9.140625" style="1"/>
    <col min="4612" max="4612" width="34.28515625" style="1" customWidth="1"/>
    <col min="4613" max="4613" width="25.7109375" style="1" customWidth="1"/>
    <col min="4614" max="4617" width="8.5703125" style="1" customWidth="1"/>
    <col min="4618" max="4618" width="10.85546875" style="1" customWidth="1"/>
    <col min="4619" max="4619" width="21.5703125" style="1" customWidth="1"/>
    <col min="4620" max="4623" width="10.85546875" style="1" customWidth="1"/>
    <col min="4624" max="4624" width="10.5703125" style="1" customWidth="1"/>
    <col min="4625" max="4867" width="9.140625" style="1"/>
    <col min="4868" max="4868" width="34.28515625" style="1" customWidth="1"/>
    <col min="4869" max="4869" width="25.7109375" style="1" customWidth="1"/>
    <col min="4870" max="4873" width="8.5703125" style="1" customWidth="1"/>
    <col min="4874" max="4874" width="10.85546875" style="1" customWidth="1"/>
    <col min="4875" max="4875" width="21.5703125" style="1" customWidth="1"/>
    <col min="4876" max="4879" width="10.85546875" style="1" customWidth="1"/>
    <col min="4880" max="4880" width="10.5703125" style="1" customWidth="1"/>
    <col min="4881" max="5123" width="9.140625" style="1"/>
    <col min="5124" max="5124" width="34.28515625" style="1" customWidth="1"/>
    <col min="5125" max="5125" width="25.7109375" style="1" customWidth="1"/>
    <col min="5126" max="5129" width="8.5703125" style="1" customWidth="1"/>
    <col min="5130" max="5130" width="10.85546875" style="1" customWidth="1"/>
    <col min="5131" max="5131" width="21.5703125" style="1" customWidth="1"/>
    <col min="5132" max="5135" width="10.85546875" style="1" customWidth="1"/>
    <col min="5136" max="5136" width="10.5703125" style="1" customWidth="1"/>
    <col min="5137" max="5379" width="9.140625" style="1"/>
    <col min="5380" max="5380" width="34.28515625" style="1" customWidth="1"/>
    <col min="5381" max="5381" width="25.7109375" style="1" customWidth="1"/>
    <col min="5382" max="5385" width="8.5703125" style="1" customWidth="1"/>
    <col min="5386" max="5386" width="10.85546875" style="1" customWidth="1"/>
    <col min="5387" max="5387" width="21.5703125" style="1" customWidth="1"/>
    <col min="5388" max="5391" width="10.85546875" style="1" customWidth="1"/>
    <col min="5392" max="5392" width="10.5703125" style="1" customWidth="1"/>
    <col min="5393" max="5635" width="9.140625" style="1"/>
    <col min="5636" max="5636" width="34.28515625" style="1" customWidth="1"/>
    <col min="5637" max="5637" width="25.7109375" style="1" customWidth="1"/>
    <col min="5638" max="5641" width="8.5703125" style="1" customWidth="1"/>
    <col min="5642" max="5642" width="10.85546875" style="1" customWidth="1"/>
    <col min="5643" max="5643" width="21.5703125" style="1" customWidth="1"/>
    <col min="5644" max="5647" width="10.85546875" style="1" customWidth="1"/>
    <col min="5648" max="5648" width="10.5703125" style="1" customWidth="1"/>
    <col min="5649" max="5891" width="9.140625" style="1"/>
    <col min="5892" max="5892" width="34.28515625" style="1" customWidth="1"/>
    <col min="5893" max="5893" width="25.7109375" style="1" customWidth="1"/>
    <col min="5894" max="5897" width="8.5703125" style="1" customWidth="1"/>
    <col min="5898" max="5898" width="10.85546875" style="1" customWidth="1"/>
    <col min="5899" max="5899" width="21.5703125" style="1" customWidth="1"/>
    <col min="5900" max="5903" width="10.85546875" style="1" customWidth="1"/>
    <col min="5904" max="5904" width="10.5703125" style="1" customWidth="1"/>
    <col min="5905" max="6147" width="9.140625" style="1"/>
    <col min="6148" max="6148" width="34.28515625" style="1" customWidth="1"/>
    <col min="6149" max="6149" width="25.7109375" style="1" customWidth="1"/>
    <col min="6150" max="6153" width="8.5703125" style="1" customWidth="1"/>
    <col min="6154" max="6154" width="10.85546875" style="1" customWidth="1"/>
    <col min="6155" max="6155" width="21.5703125" style="1" customWidth="1"/>
    <col min="6156" max="6159" width="10.85546875" style="1" customWidth="1"/>
    <col min="6160" max="6160" width="10.5703125" style="1" customWidth="1"/>
    <col min="6161" max="6403" width="9.140625" style="1"/>
    <col min="6404" max="6404" width="34.28515625" style="1" customWidth="1"/>
    <col min="6405" max="6405" width="25.7109375" style="1" customWidth="1"/>
    <col min="6406" max="6409" width="8.5703125" style="1" customWidth="1"/>
    <col min="6410" max="6410" width="10.85546875" style="1" customWidth="1"/>
    <col min="6411" max="6411" width="21.5703125" style="1" customWidth="1"/>
    <col min="6412" max="6415" width="10.85546875" style="1" customWidth="1"/>
    <col min="6416" max="6416" width="10.5703125" style="1" customWidth="1"/>
    <col min="6417" max="6659" width="9.140625" style="1"/>
    <col min="6660" max="6660" width="34.28515625" style="1" customWidth="1"/>
    <col min="6661" max="6661" width="25.7109375" style="1" customWidth="1"/>
    <col min="6662" max="6665" width="8.5703125" style="1" customWidth="1"/>
    <col min="6666" max="6666" width="10.85546875" style="1" customWidth="1"/>
    <col min="6667" max="6667" width="21.5703125" style="1" customWidth="1"/>
    <col min="6668" max="6671" width="10.85546875" style="1" customWidth="1"/>
    <col min="6672" max="6672" width="10.5703125" style="1" customWidth="1"/>
    <col min="6673" max="6915" width="9.140625" style="1"/>
    <col min="6916" max="6916" width="34.28515625" style="1" customWidth="1"/>
    <col min="6917" max="6917" width="25.7109375" style="1" customWidth="1"/>
    <col min="6918" max="6921" width="8.5703125" style="1" customWidth="1"/>
    <col min="6922" max="6922" width="10.85546875" style="1" customWidth="1"/>
    <col min="6923" max="6923" width="21.5703125" style="1" customWidth="1"/>
    <col min="6924" max="6927" width="10.85546875" style="1" customWidth="1"/>
    <col min="6928" max="6928" width="10.5703125" style="1" customWidth="1"/>
    <col min="6929" max="7171" width="9.140625" style="1"/>
    <col min="7172" max="7172" width="34.28515625" style="1" customWidth="1"/>
    <col min="7173" max="7173" width="25.7109375" style="1" customWidth="1"/>
    <col min="7174" max="7177" width="8.5703125" style="1" customWidth="1"/>
    <col min="7178" max="7178" width="10.85546875" style="1" customWidth="1"/>
    <col min="7179" max="7179" width="21.5703125" style="1" customWidth="1"/>
    <col min="7180" max="7183" width="10.85546875" style="1" customWidth="1"/>
    <col min="7184" max="7184" width="10.5703125" style="1" customWidth="1"/>
    <col min="7185" max="7427" width="9.140625" style="1"/>
    <col min="7428" max="7428" width="34.28515625" style="1" customWidth="1"/>
    <col min="7429" max="7429" width="25.7109375" style="1" customWidth="1"/>
    <col min="7430" max="7433" width="8.5703125" style="1" customWidth="1"/>
    <col min="7434" max="7434" width="10.85546875" style="1" customWidth="1"/>
    <col min="7435" max="7435" width="21.5703125" style="1" customWidth="1"/>
    <col min="7436" max="7439" width="10.85546875" style="1" customWidth="1"/>
    <col min="7440" max="7440" width="10.5703125" style="1" customWidth="1"/>
    <col min="7441" max="7683" width="9.140625" style="1"/>
    <col min="7684" max="7684" width="34.28515625" style="1" customWidth="1"/>
    <col min="7685" max="7685" width="25.7109375" style="1" customWidth="1"/>
    <col min="7686" max="7689" width="8.5703125" style="1" customWidth="1"/>
    <col min="7690" max="7690" width="10.85546875" style="1" customWidth="1"/>
    <col min="7691" max="7691" width="21.5703125" style="1" customWidth="1"/>
    <col min="7692" max="7695" width="10.85546875" style="1" customWidth="1"/>
    <col min="7696" max="7696" width="10.5703125" style="1" customWidth="1"/>
    <col min="7697" max="7939" width="9.140625" style="1"/>
    <col min="7940" max="7940" width="34.28515625" style="1" customWidth="1"/>
    <col min="7941" max="7941" width="25.7109375" style="1" customWidth="1"/>
    <col min="7942" max="7945" width="8.5703125" style="1" customWidth="1"/>
    <col min="7946" max="7946" width="10.85546875" style="1" customWidth="1"/>
    <col min="7947" max="7947" width="21.5703125" style="1" customWidth="1"/>
    <col min="7948" max="7951" width="10.85546875" style="1" customWidth="1"/>
    <col min="7952" max="7952" width="10.5703125" style="1" customWidth="1"/>
    <col min="7953" max="8195" width="9.140625" style="1"/>
    <col min="8196" max="8196" width="34.28515625" style="1" customWidth="1"/>
    <col min="8197" max="8197" width="25.7109375" style="1" customWidth="1"/>
    <col min="8198" max="8201" width="8.5703125" style="1" customWidth="1"/>
    <col min="8202" max="8202" width="10.85546875" style="1" customWidth="1"/>
    <col min="8203" max="8203" width="21.5703125" style="1" customWidth="1"/>
    <col min="8204" max="8207" width="10.85546875" style="1" customWidth="1"/>
    <col min="8208" max="8208" width="10.5703125" style="1" customWidth="1"/>
    <col min="8209" max="8451" width="9.140625" style="1"/>
    <col min="8452" max="8452" width="34.28515625" style="1" customWidth="1"/>
    <col min="8453" max="8453" width="25.7109375" style="1" customWidth="1"/>
    <col min="8454" max="8457" width="8.5703125" style="1" customWidth="1"/>
    <col min="8458" max="8458" width="10.85546875" style="1" customWidth="1"/>
    <col min="8459" max="8459" width="21.5703125" style="1" customWidth="1"/>
    <col min="8460" max="8463" width="10.85546875" style="1" customWidth="1"/>
    <col min="8464" max="8464" width="10.5703125" style="1" customWidth="1"/>
    <col min="8465" max="8707" width="9.140625" style="1"/>
    <col min="8708" max="8708" width="34.28515625" style="1" customWidth="1"/>
    <col min="8709" max="8709" width="25.7109375" style="1" customWidth="1"/>
    <col min="8710" max="8713" width="8.5703125" style="1" customWidth="1"/>
    <col min="8714" max="8714" width="10.85546875" style="1" customWidth="1"/>
    <col min="8715" max="8715" width="21.5703125" style="1" customWidth="1"/>
    <col min="8716" max="8719" width="10.85546875" style="1" customWidth="1"/>
    <col min="8720" max="8720" width="10.5703125" style="1" customWidth="1"/>
    <col min="8721" max="8963" width="9.140625" style="1"/>
    <col min="8964" max="8964" width="34.28515625" style="1" customWidth="1"/>
    <col min="8965" max="8965" width="25.7109375" style="1" customWidth="1"/>
    <col min="8966" max="8969" width="8.5703125" style="1" customWidth="1"/>
    <col min="8970" max="8970" width="10.85546875" style="1" customWidth="1"/>
    <col min="8971" max="8971" width="21.5703125" style="1" customWidth="1"/>
    <col min="8972" max="8975" width="10.85546875" style="1" customWidth="1"/>
    <col min="8976" max="8976" width="10.5703125" style="1" customWidth="1"/>
    <col min="8977" max="9219" width="9.140625" style="1"/>
    <col min="9220" max="9220" width="34.28515625" style="1" customWidth="1"/>
    <col min="9221" max="9221" width="25.7109375" style="1" customWidth="1"/>
    <col min="9222" max="9225" width="8.5703125" style="1" customWidth="1"/>
    <col min="9226" max="9226" width="10.85546875" style="1" customWidth="1"/>
    <col min="9227" max="9227" width="21.5703125" style="1" customWidth="1"/>
    <col min="9228" max="9231" width="10.85546875" style="1" customWidth="1"/>
    <col min="9232" max="9232" width="10.5703125" style="1" customWidth="1"/>
    <col min="9233" max="9475" width="9.140625" style="1"/>
    <col min="9476" max="9476" width="34.28515625" style="1" customWidth="1"/>
    <col min="9477" max="9477" width="25.7109375" style="1" customWidth="1"/>
    <col min="9478" max="9481" width="8.5703125" style="1" customWidth="1"/>
    <col min="9482" max="9482" width="10.85546875" style="1" customWidth="1"/>
    <col min="9483" max="9483" width="21.5703125" style="1" customWidth="1"/>
    <col min="9484" max="9487" width="10.85546875" style="1" customWidth="1"/>
    <col min="9488" max="9488" width="10.5703125" style="1" customWidth="1"/>
    <col min="9489" max="9731" width="9.140625" style="1"/>
    <col min="9732" max="9732" width="34.28515625" style="1" customWidth="1"/>
    <col min="9733" max="9733" width="25.7109375" style="1" customWidth="1"/>
    <col min="9734" max="9737" width="8.5703125" style="1" customWidth="1"/>
    <col min="9738" max="9738" width="10.85546875" style="1" customWidth="1"/>
    <col min="9739" max="9739" width="21.5703125" style="1" customWidth="1"/>
    <col min="9740" max="9743" width="10.85546875" style="1" customWidth="1"/>
    <col min="9744" max="9744" width="10.5703125" style="1" customWidth="1"/>
    <col min="9745" max="9987" width="9.140625" style="1"/>
    <col min="9988" max="9988" width="34.28515625" style="1" customWidth="1"/>
    <col min="9989" max="9989" width="25.7109375" style="1" customWidth="1"/>
    <col min="9990" max="9993" width="8.5703125" style="1" customWidth="1"/>
    <col min="9994" max="9994" width="10.85546875" style="1" customWidth="1"/>
    <col min="9995" max="9995" width="21.5703125" style="1" customWidth="1"/>
    <col min="9996" max="9999" width="10.85546875" style="1" customWidth="1"/>
    <col min="10000" max="10000" width="10.5703125" style="1" customWidth="1"/>
    <col min="10001" max="10243" width="9.140625" style="1"/>
    <col min="10244" max="10244" width="34.28515625" style="1" customWidth="1"/>
    <col min="10245" max="10245" width="25.7109375" style="1" customWidth="1"/>
    <col min="10246" max="10249" width="8.5703125" style="1" customWidth="1"/>
    <col min="10250" max="10250" width="10.85546875" style="1" customWidth="1"/>
    <col min="10251" max="10251" width="21.5703125" style="1" customWidth="1"/>
    <col min="10252" max="10255" width="10.85546875" style="1" customWidth="1"/>
    <col min="10256" max="10256" width="10.5703125" style="1" customWidth="1"/>
    <col min="10257" max="10499" width="9.140625" style="1"/>
    <col min="10500" max="10500" width="34.28515625" style="1" customWidth="1"/>
    <col min="10501" max="10501" width="25.7109375" style="1" customWidth="1"/>
    <col min="10502" max="10505" width="8.5703125" style="1" customWidth="1"/>
    <col min="10506" max="10506" width="10.85546875" style="1" customWidth="1"/>
    <col min="10507" max="10507" width="21.5703125" style="1" customWidth="1"/>
    <col min="10508" max="10511" width="10.85546875" style="1" customWidth="1"/>
    <col min="10512" max="10512" width="10.5703125" style="1" customWidth="1"/>
    <col min="10513" max="10755" width="9.140625" style="1"/>
    <col min="10756" max="10756" width="34.28515625" style="1" customWidth="1"/>
    <col min="10757" max="10757" width="25.7109375" style="1" customWidth="1"/>
    <col min="10758" max="10761" width="8.5703125" style="1" customWidth="1"/>
    <col min="10762" max="10762" width="10.85546875" style="1" customWidth="1"/>
    <col min="10763" max="10763" width="21.5703125" style="1" customWidth="1"/>
    <col min="10764" max="10767" width="10.85546875" style="1" customWidth="1"/>
    <col min="10768" max="10768" width="10.5703125" style="1" customWidth="1"/>
    <col min="10769" max="11011" width="9.140625" style="1"/>
    <col min="11012" max="11012" width="34.28515625" style="1" customWidth="1"/>
    <col min="11013" max="11013" width="25.7109375" style="1" customWidth="1"/>
    <col min="11014" max="11017" width="8.5703125" style="1" customWidth="1"/>
    <col min="11018" max="11018" width="10.85546875" style="1" customWidth="1"/>
    <col min="11019" max="11019" width="21.5703125" style="1" customWidth="1"/>
    <col min="11020" max="11023" width="10.85546875" style="1" customWidth="1"/>
    <col min="11024" max="11024" width="10.5703125" style="1" customWidth="1"/>
    <col min="11025" max="11267" width="9.140625" style="1"/>
    <col min="11268" max="11268" width="34.28515625" style="1" customWidth="1"/>
    <col min="11269" max="11269" width="25.7109375" style="1" customWidth="1"/>
    <col min="11270" max="11273" width="8.5703125" style="1" customWidth="1"/>
    <col min="11274" max="11274" width="10.85546875" style="1" customWidth="1"/>
    <col min="11275" max="11275" width="21.5703125" style="1" customWidth="1"/>
    <col min="11276" max="11279" width="10.85546875" style="1" customWidth="1"/>
    <col min="11280" max="11280" width="10.5703125" style="1" customWidth="1"/>
    <col min="11281" max="11523" width="9.140625" style="1"/>
    <col min="11524" max="11524" width="34.28515625" style="1" customWidth="1"/>
    <col min="11525" max="11525" width="25.7109375" style="1" customWidth="1"/>
    <col min="11526" max="11529" width="8.5703125" style="1" customWidth="1"/>
    <col min="11530" max="11530" width="10.85546875" style="1" customWidth="1"/>
    <col min="11531" max="11531" width="21.5703125" style="1" customWidth="1"/>
    <col min="11532" max="11535" width="10.85546875" style="1" customWidth="1"/>
    <col min="11536" max="11536" width="10.5703125" style="1" customWidth="1"/>
    <col min="11537" max="11779" width="9.140625" style="1"/>
    <col min="11780" max="11780" width="34.28515625" style="1" customWidth="1"/>
    <col min="11781" max="11781" width="25.7109375" style="1" customWidth="1"/>
    <col min="11782" max="11785" width="8.5703125" style="1" customWidth="1"/>
    <col min="11786" max="11786" width="10.85546875" style="1" customWidth="1"/>
    <col min="11787" max="11787" width="21.5703125" style="1" customWidth="1"/>
    <col min="11788" max="11791" width="10.85546875" style="1" customWidth="1"/>
    <col min="11792" max="11792" width="10.5703125" style="1" customWidth="1"/>
    <col min="11793" max="12035" width="9.140625" style="1"/>
    <col min="12036" max="12036" width="34.28515625" style="1" customWidth="1"/>
    <col min="12037" max="12037" width="25.7109375" style="1" customWidth="1"/>
    <col min="12038" max="12041" width="8.5703125" style="1" customWidth="1"/>
    <col min="12042" max="12042" width="10.85546875" style="1" customWidth="1"/>
    <col min="12043" max="12043" width="21.5703125" style="1" customWidth="1"/>
    <col min="12044" max="12047" width="10.85546875" style="1" customWidth="1"/>
    <col min="12048" max="12048" width="10.5703125" style="1" customWidth="1"/>
    <col min="12049" max="12291" width="9.140625" style="1"/>
    <col min="12292" max="12292" width="34.28515625" style="1" customWidth="1"/>
    <col min="12293" max="12293" width="25.7109375" style="1" customWidth="1"/>
    <col min="12294" max="12297" width="8.5703125" style="1" customWidth="1"/>
    <col min="12298" max="12298" width="10.85546875" style="1" customWidth="1"/>
    <col min="12299" max="12299" width="21.5703125" style="1" customWidth="1"/>
    <col min="12300" max="12303" width="10.85546875" style="1" customWidth="1"/>
    <col min="12304" max="12304" width="10.5703125" style="1" customWidth="1"/>
    <col min="12305" max="12547" width="9.140625" style="1"/>
    <col min="12548" max="12548" width="34.28515625" style="1" customWidth="1"/>
    <col min="12549" max="12549" width="25.7109375" style="1" customWidth="1"/>
    <col min="12550" max="12553" width="8.5703125" style="1" customWidth="1"/>
    <col min="12554" max="12554" width="10.85546875" style="1" customWidth="1"/>
    <col min="12555" max="12555" width="21.5703125" style="1" customWidth="1"/>
    <col min="12556" max="12559" width="10.85546875" style="1" customWidth="1"/>
    <col min="12560" max="12560" width="10.5703125" style="1" customWidth="1"/>
    <col min="12561" max="12803" width="9.140625" style="1"/>
    <col min="12804" max="12804" width="34.28515625" style="1" customWidth="1"/>
    <col min="12805" max="12805" width="25.7109375" style="1" customWidth="1"/>
    <col min="12806" max="12809" width="8.5703125" style="1" customWidth="1"/>
    <col min="12810" max="12810" width="10.85546875" style="1" customWidth="1"/>
    <col min="12811" max="12811" width="21.5703125" style="1" customWidth="1"/>
    <col min="12812" max="12815" width="10.85546875" style="1" customWidth="1"/>
    <col min="12816" max="12816" width="10.5703125" style="1" customWidth="1"/>
    <col min="12817" max="13059" width="9.140625" style="1"/>
    <col min="13060" max="13060" width="34.28515625" style="1" customWidth="1"/>
    <col min="13061" max="13061" width="25.7109375" style="1" customWidth="1"/>
    <col min="13062" max="13065" width="8.5703125" style="1" customWidth="1"/>
    <col min="13066" max="13066" width="10.85546875" style="1" customWidth="1"/>
    <col min="13067" max="13067" width="21.5703125" style="1" customWidth="1"/>
    <col min="13068" max="13071" width="10.85546875" style="1" customWidth="1"/>
    <col min="13072" max="13072" width="10.5703125" style="1" customWidth="1"/>
    <col min="13073" max="13315" width="9.140625" style="1"/>
    <col min="13316" max="13316" width="34.28515625" style="1" customWidth="1"/>
    <col min="13317" max="13317" width="25.7109375" style="1" customWidth="1"/>
    <col min="13318" max="13321" width="8.5703125" style="1" customWidth="1"/>
    <col min="13322" max="13322" width="10.85546875" style="1" customWidth="1"/>
    <col min="13323" max="13323" width="21.5703125" style="1" customWidth="1"/>
    <col min="13324" max="13327" width="10.85546875" style="1" customWidth="1"/>
    <col min="13328" max="13328" width="10.5703125" style="1" customWidth="1"/>
    <col min="13329" max="13571" width="9.140625" style="1"/>
    <col min="13572" max="13572" width="34.28515625" style="1" customWidth="1"/>
    <col min="13573" max="13573" width="25.7109375" style="1" customWidth="1"/>
    <col min="13574" max="13577" width="8.5703125" style="1" customWidth="1"/>
    <col min="13578" max="13578" width="10.85546875" style="1" customWidth="1"/>
    <col min="13579" max="13579" width="21.5703125" style="1" customWidth="1"/>
    <col min="13580" max="13583" width="10.85546875" style="1" customWidth="1"/>
    <col min="13584" max="13584" width="10.5703125" style="1" customWidth="1"/>
    <col min="13585" max="13827" width="9.140625" style="1"/>
    <col min="13828" max="13828" width="34.28515625" style="1" customWidth="1"/>
    <col min="13829" max="13829" width="25.7109375" style="1" customWidth="1"/>
    <col min="13830" max="13833" width="8.5703125" style="1" customWidth="1"/>
    <col min="13834" max="13834" width="10.85546875" style="1" customWidth="1"/>
    <col min="13835" max="13835" width="21.5703125" style="1" customWidth="1"/>
    <col min="13836" max="13839" width="10.85546875" style="1" customWidth="1"/>
    <col min="13840" max="13840" width="10.5703125" style="1" customWidth="1"/>
    <col min="13841" max="14083" width="9.140625" style="1"/>
    <col min="14084" max="14084" width="34.28515625" style="1" customWidth="1"/>
    <col min="14085" max="14085" width="25.7109375" style="1" customWidth="1"/>
    <col min="14086" max="14089" width="8.5703125" style="1" customWidth="1"/>
    <col min="14090" max="14090" width="10.85546875" style="1" customWidth="1"/>
    <col min="14091" max="14091" width="21.5703125" style="1" customWidth="1"/>
    <col min="14092" max="14095" width="10.85546875" style="1" customWidth="1"/>
    <col min="14096" max="14096" width="10.5703125" style="1" customWidth="1"/>
    <col min="14097" max="14339" width="9.140625" style="1"/>
    <col min="14340" max="14340" width="34.28515625" style="1" customWidth="1"/>
    <col min="14341" max="14341" width="25.7109375" style="1" customWidth="1"/>
    <col min="14342" max="14345" width="8.5703125" style="1" customWidth="1"/>
    <col min="14346" max="14346" width="10.85546875" style="1" customWidth="1"/>
    <col min="14347" max="14347" width="21.5703125" style="1" customWidth="1"/>
    <col min="14348" max="14351" width="10.85546875" style="1" customWidth="1"/>
    <col min="14352" max="14352" width="10.5703125" style="1" customWidth="1"/>
    <col min="14353" max="14595" width="9.140625" style="1"/>
    <col min="14596" max="14596" width="34.28515625" style="1" customWidth="1"/>
    <col min="14597" max="14597" width="25.7109375" style="1" customWidth="1"/>
    <col min="14598" max="14601" width="8.5703125" style="1" customWidth="1"/>
    <col min="14602" max="14602" width="10.85546875" style="1" customWidth="1"/>
    <col min="14603" max="14603" width="21.5703125" style="1" customWidth="1"/>
    <col min="14604" max="14607" width="10.85546875" style="1" customWidth="1"/>
    <col min="14608" max="14608" width="10.5703125" style="1" customWidth="1"/>
    <col min="14609" max="14851" width="9.140625" style="1"/>
    <col min="14852" max="14852" width="34.28515625" style="1" customWidth="1"/>
    <col min="14853" max="14853" width="25.7109375" style="1" customWidth="1"/>
    <col min="14854" max="14857" width="8.5703125" style="1" customWidth="1"/>
    <col min="14858" max="14858" width="10.85546875" style="1" customWidth="1"/>
    <col min="14859" max="14859" width="21.5703125" style="1" customWidth="1"/>
    <col min="14860" max="14863" width="10.85546875" style="1" customWidth="1"/>
    <col min="14864" max="14864" width="10.5703125" style="1" customWidth="1"/>
    <col min="14865" max="15107" width="9.140625" style="1"/>
    <col min="15108" max="15108" width="34.28515625" style="1" customWidth="1"/>
    <col min="15109" max="15109" width="25.7109375" style="1" customWidth="1"/>
    <col min="15110" max="15113" width="8.5703125" style="1" customWidth="1"/>
    <col min="15114" max="15114" width="10.85546875" style="1" customWidth="1"/>
    <col min="15115" max="15115" width="21.5703125" style="1" customWidth="1"/>
    <col min="15116" max="15119" width="10.85546875" style="1" customWidth="1"/>
    <col min="15120" max="15120" width="10.5703125" style="1" customWidth="1"/>
    <col min="15121" max="15363" width="9.140625" style="1"/>
    <col min="15364" max="15364" width="34.28515625" style="1" customWidth="1"/>
    <col min="15365" max="15365" width="25.7109375" style="1" customWidth="1"/>
    <col min="15366" max="15369" width="8.5703125" style="1" customWidth="1"/>
    <col min="15370" max="15370" width="10.85546875" style="1" customWidth="1"/>
    <col min="15371" max="15371" width="21.5703125" style="1" customWidth="1"/>
    <col min="15372" max="15375" width="10.85546875" style="1" customWidth="1"/>
    <col min="15376" max="15376" width="10.5703125" style="1" customWidth="1"/>
    <col min="15377" max="15619" width="9.140625" style="1"/>
    <col min="15620" max="15620" width="34.28515625" style="1" customWidth="1"/>
    <col min="15621" max="15621" width="25.7109375" style="1" customWidth="1"/>
    <col min="15622" max="15625" width="8.5703125" style="1" customWidth="1"/>
    <col min="15626" max="15626" width="10.85546875" style="1" customWidth="1"/>
    <col min="15627" max="15627" width="21.5703125" style="1" customWidth="1"/>
    <col min="15628" max="15631" width="10.85546875" style="1" customWidth="1"/>
    <col min="15632" max="15632" width="10.5703125" style="1" customWidth="1"/>
    <col min="15633" max="15875" width="9.140625" style="1"/>
    <col min="15876" max="15876" width="34.28515625" style="1" customWidth="1"/>
    <col min="15877" max="15877" width="25.7109375" style="1" customWidth="1"/>
    <col min="15878" max="15881" width="8.5703125" style="1" customWidth="1"/>
    <col min="15882" max="15882" width="10.85546875" style="1" customWidth="1"/>
    <col min="15883" max="15883" width="21.5703125" style="1" customWidth="1"/>
    <col min="15884" max="15887" width="10.85546875" style="1" customWidth="1"/>
    <col min="15888" max="15888" width="10.5703125" style="1" customWidth="1"/>
    <col min="15889" max="16131" width="9.140625" style="1"/>
    <col min="16132" max="16132" width="34.28515625" style="1" customWidth="1"/>
    <col min="16133" max="16133" width="25.7109375" style="1" customWidth="1"/>
    <col min="16134" max="16137" width="8.5703125" style="1" customWidth="1"/>
    <col min="16138" max="16138" width="10.85546875" style="1" customWidth="1"/>
    <col min="16139" max="16139" width="21.5703125" style="1" customWidth="1"/>
    <col min="16140" max="16143" width="10.85546875" style="1" customWidth="1"/>
    <col min="16144" max="16144" width="10.5703125" style="1" customWidth="1"/>
    <col min="16145" max="16384" width="9.140625" style="1"/>
  </cols>
  <sheetData>
    <row r="2" spans="1:24" ht="18.95" customHeight="1" x14ac:dyDescent="0.3">
      <c r="A2" s="2"/>
      <c r="B2" s="3"/>
      <c r="D2" s="87"/>
      <c r="E2" s="87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4" ht="21" x14ac:dyDescent="0.35">
      <c r="A3" s="2"/>
      <c r="B3" s="3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4" ht="18.95" customHeight="1" x14ac:dyDescent="0.3">
      <c r="A4" s="2"/>
      <c r="B4" s="3"/>
      <c r="D4" s="88"/>
      <c r="E4" s="87"/>
      <c r="F4" s="6"/>
      <c r="G4" s="6"/>
      <c r="H4" s="6"/>
      <c r="I4" s="6"/>
      <c r="J4" s="6"/>
      <c r="K4" s="6"/>
      <c r="L4" s="6"/>
      <c r="M4" s="6"/>
      <c r="N4" s="6"/>
      <c r="O4" s="7"/>
    </row>
    <row r="5" spans="1:24" s="8" customFormat="1" ht="18" customHeight="1" thickBot="1" x14ac:dyDescent="0.3">
      <c r="B5" s="9"/>
      <c r="L5" s="10"/>
      <c r="M5" s="10"/>
      <c r="N5" s="10"/>
      <c r="O5" s="11"/>
    </row>
    <row r="6" spans="1:24" s="63" customFormat="1" ht="31.7" customHeight="1" thickBot="1" x14ac:dyDescent="0.3">
      <c r="A6" s="18"/>
      <c r="B6" s="89" t="s">
        <v>942</v>
      </c>
      <c r="C6" s="89"/>
      <c r="D6" s="89"/>
      <c r="E6" s="89"/>
      <c r="F6" s="89"/>
      <c r="G6" s="89"/>
      <c r="H6" s="170"/>
      <c r="I6" s="170"/>
      <c r="J6" s="170"/>
      <c r="K6" s="89"/>
      <c r="L6" s="89"/>
      <c r="M6" s="99"/>
      <c r="N6" s="119"/>
      <c r="O6" s="119"/>
    </row>
    <row r="7" spans="1:24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185"/>
      <c r="I7" s="185"/>
      <c r="J7" s="185"/>
      <c r="K7" s="185"/>
      <c r="L7" s="69"/>
    </row>
    <row r="8" spans="1:24" s="47" customFormat="1" ht="18" customHeight="1" x14ac:dyDescent="0.25">
      <c r="A8" s="59"/>
      <c r="B8" s="341" t="s">
        <v>1</v>
      </c>
      <c r="C8" s="337" t="s">
        <v>2</v>
      </c>
      <c r="D8" s="338"/>
      <c r="E8" s="337" t="s">
        <v>3</v>
      </c>
      <c r="F8" s="352"/>
      <c r="G8" s="171" t="s">
        <v>4</v>
      </c>
      <c r="H8" s="350" t="s">
        <v>5</v>
      </c>
      <c r="I8" s="351"/>
      <c r="J8" s="351"/>
      <c r="K8" s="345"/>
      <c r="L8" s="325" t="s">
        <v>6</v>
      </c>
      <c r="M8" s="328" t="s">
        <v>7</v>
      </c>
      <c r="N8" s="312" t="s">
        <v>8</v>
      </c>
      <c r="O8" s="16" t="s">
        <v>9</v>
      </c>
    </row>
    <row r="9" spans="1:24" s="59" customFormat="1" ht="18" customHeight="1" x14ac:dyDescent="0.25">
      <c r="A9" s="18" t="s">
        <v>48</v>
      </c>
      <c r="B9" s="342"/>
      <c r="C9" s="339"/>
      <c r="D9" s="340"/>
      <c r="E9" s="72" t="s">
        <v>10</v>
      </c>
      <c r="F9" s="73"/>
      <c r="G9" s="172"/>
      <c r="H9" s="333" t="s">
        <v>42</v>
      </c>
      <c r="I9" s="349"/>
      <c r="J9" s="344" t="s">
        <v>43</v>
      </c>
      <c r="K9" s="349"/>
      <c r="L9" s="326"/>
      <c r="M9" s="329"/>
      <c r="N9" s="313"/>
      <c r="O9" s="22"/>
    </row>
    <row r="10" spans="1:24" s="47" customFormat="1" ht="18" customHeight="1" thickBot="1" x14ac:dyDescent="0.3">
      <c r="B10" s="343"/>
      <c r="C10" s="23" t="s">
        <v>12</v>
      </c>
      <c r="D10" s="24" t="s">
        <v>13</v>
      </c>
      <c r="E10" s="24" t="s">
        <v>14</v>
      </c>
      <c r="F10" s="24" t="s">
        <v>49</v>
      </c>
      <c r="G10" s="173" t="s">
        <v>16</v>
      </c>
      <c r="H10" s="191" t="s">
        <v>717</v>
      </c>
      <c r="I10" s="187" t="s">
        <v>17</v>
      </c>
      <c r="J10" s="201" t="s">
        <v>717</v>
      </c>
      <c r="K10" s="183" t="s">
        <v>18</v>
      </c>
      <c r="L10" s="327"/>
      <c r="M10" s="90" t="s">
        <v>19</v>
      </c>
      <c r="N10" s="314" t="s">
        <v>20</v>
      </c>
      <c r="O10" s="320" t="s">
        <v>21</v>
      </c>
    </row>
    <row r="11" spans="1:24" s="47" customFormat="1" ht="18" customHeight="1" thickBot="1" x14ac:dyDescent="0.3">
      <c r="B11" s="91" t="s">
        <v>822</v>
      </c>
      <c r="C11" s="76">
        <v>0.75</v>
      </c>
      <c r="D11" s="77">
        <v>1</v>
      </c>
      <c r="E11" s="77">
        <v>8</v>
      </c>
      <c r="F11" s="77">
        <v>14</v>
      </c>
      <c r="G11" s="92" t="s">
        <v>50</v>
      </c>
      <c r="H11" s="193"/>
      <c r="I11" s="209"/>
      <c r="J11" s="203">
        <v>100590542</v>
      </c>
      <c r="K11" s="33">
        <v>446</v>
      </c>
      <c r="L11" s="76" t="s">
        <v>24</v>
      </c>
      <c r="M11" s="81">
        <v>2900</v>
      </c>
      <c r="N11" s="80">
        <v>50</v>
      </c>
      <c r="O11" s="93">
        <v>5.8105079999999996E-2</v>
      </c>
      <c r="Q11" s="94"/>
      <c r="R11" s="94"/>
      <c r="S11" s="94"/>
      <c r="T11" s="94"/>
      <c r="U11" s="94"/>
      <c r="V11" s="94"/>
      <c r="W11" s="94"/>
      <c r="X11" s="94"/>
    </row>
    <row r="12" spans="1:24" s="47" customFormat="1" ht="18" customHeight="1" thickBot="1" x14ac:dyDescent="0.3">
      <c r="B12" s="91" t="s">
        <v>823</v>
      </c>
      <c r="C12" s="76">
        <v>1.1000000000000001</v>
      </c>
      <c r="D12" s="77">
        <v>1.5</v>
      </c>
      <c r="E12" s="77">
        <v>8</v>
      </c>
      <c r="F12" s="77">
        <v>18</v>
      </c>
      <c r="G12" s="92" t="s">
        <v>51</v>
      </c>
      <c r="H12" s="193"/>
      <c r="I12" s="209"/>
      <c r="J12" s="203">
        <v>100590543</v>
      </c>
      <c r="K12" s="33">
        <v>464</v>
      </c>
      <c r="L12" s="76" t="s">
        <v>24</v>
      </c>
      <c r="M12" s="81">
        <v>2900</v>
      </c>
      <c r="N12" s="80">
        <v>50</v>
      </c>
      <c r="O12" s="93">
        <f>0.536*0.365*0.297</f>
        <v>5.8105079999999996E-2</v>
      </c>
      <c r="Q12" s="94"/>
      <c r="R12" s="94"/>
      <c r="S12" s="94"/>
      <c r="T12" s="94"/>
      <c r="U12" s="94"/>
      <c r="V12" s="94"/>
      <c r="W12" s="94"/>
      <c r="X12" s="94"/>
    </row>
    <row r="13" spans="1:24" s="47" customFormat="1" ht="18" customHeight="1" thickBot="1" x14ac:dyDescent="0.3">
      <c r="B13" s="91" t="s">
        <v>824</v>
      </c>
      <c r="C13" s="76">
        <v>1.5</v>
      </c>
      <c r="D13" s="77">
        <v>2</v>
      </c>
      <c r="E13" s="77">
        <v>12.5</v>
      </c>
      <c r="F13" s="77">
        <v>21</v>
      </c>
      <c r="G13" s="92" t="s">
        <v>51</v>
      </c>
      <c r="H13" s="193"/>
      <c r="I13" s="209"/>
      <c r="J13" s="203">
        <v>100590544</v>
      </c>
      <c r="K13" s="33">
        <v>516.75659179199999</v>
      </c>
      <c r="L13" s="76" t="s">
        <v>24</v>
      </c>
      <c r="M13" s="81">
        <v>2900</v>
      </c>
      <c r="N13" s="80">
        <v>56</v>
      </c>
      <c r="O13" s="93">
        <f>0.581*0.365*0.297</f>
        <v>6.2983304999999989E-2</v>
      </c>
      <c r="Q13" s="94"/>
      <c r="R13" s="94"/>
      <c r="S13" s="94"/>
      <c r="T13" s="94"/>
      <c r="U13" s="94"/>
      <c r="V13" s="94"/>
      <c r="W13" s="94"/>
      <c r="X13" s="94"/>
    </row>
    <row r="14" spans="1:24" s="47" customFormat="1" ht="18" customHeight="1" thickBot="1" x14ac:dyDescent="0.3">
      <c r="B14" s="91" t="s">
        <v>825</v>
      </c>
      <c r="C14" s="76">
        <v>2.2000000000000002</v>
      </c>
      <c r="D14" s="77">
        <v>3</v>
      </c>
      <c r="E14" s="77">
        <v>12.5</v>
      </c>
      <c r="F14" s="77">
        <v>26</v>
      </c>
      <c r="G14" s="92" t="s">
        <v>51</v>
      </c>
      <c r="H14" s="193"/>
      <c r="I14" s="209"/>
      <c r="J14" s="203">
        <v>100590545</v>
      </c>
      <c r="K14" s="33">
        <v>546</v>
      </c>
      <c r="L14" s="76" t="s">
        <v>24</v>
      </c>
      <c r="M14" s="81">
        <v>2900</v>
      </c>
      <c r="N14" s="80">
        <v>59</v>
      </c>
      <c r="O14" s="93">
        <f>0.581*0.365*0.297</f>
        <v>6.2983304999999989E-2</v>
      </c>
      <c r="Q14" s="94"/>
      <c r="R14" s="94"/>
      <c r="S14" s="94"/>
      <c r="T14" s="94"/>
      <c r="U14" s="94"/>
      <c r="V14" s="94"/>
      <c r="W14" s="94"/>
      <c r="X14" s="94"/>
    </row>
    <row r="15" spans="1:24" s="47" customFormat="1" ht="18" customHeight="1" thickBot="1" x14ac:dyDescent="0.3">
      <c r="B15" s="91" t="s">
        <v>826</v>
      </c>
      <c r="C15" s="76">
        <v>3</v>
      </c>
      <c r="D15" s="77">
        <v>4</v>
      </c>
      <c r="E15" s="77">
        <v>12.5</v>
      </c>
      <c r="F15" s="77">
        <v>33</v>
      </c>
      <c r="G15" s="92" t="s">
        <v>51</v>
      </c>
      <c r="H15" s="193"/>
      <c r="I15" s="209"/>
      <c r="J15" s="203">
        <v>100590546</v>
      </c>
      <c r="K15" s="33">
        <v>645.82326446399986</v>
      </c>
      <c r="L15" s="76" t="s">
        <v>24</v>
      </c>
      <c r="M15" s="81">
        <v>2900</v>
      </c>
      <c r="N15" s="80">
        <v>68</v>
      </c>
      <c r="O15" s="93">
        <f>0.655*0.365*0.297</f>
        <v>7.1005274999999993E-2</v>
      </c>
      <c r="Q15" s="94"/>
      <c r="R15" s="94"/>
      <c r="S15" s="94"/>
      <c r="T15" s="94"/>
      <c r="U15" s="94"/>
      <c r="V15" s="94"/>
      <c r="W15" s="94"/>
      <c r="X15" s="94"/>
    </row>
    <row r="16" spans="1:24" s="47" customFormat="1" ht="18" customHeight="1" thickBot="1" x14ac:dyDescent="0.3">
      <c r="B16" s="91" t="s">
        <v>827</v>
      </c>
      <c r="C16" s="76">
        <v>4</v>
      </c>
      <c r="D16" s="77">
        <v>5.5</v>
      </c>
      <c r="E16" s="77">
        <v>12.5</v>
      </c>
      <c r="F16" s="77">
        <v>40</v>
      </c>
      <c r="G16" s="92" t="s">
        <v>51</v>
      </c>
      <c r="H16" s="193"/>
      <c r="I16" s="209"/>
      <c r="J16" s="203">
        <v>100590547</v>
      </c>
      <c r="K16" s="33">
        <v>781</v>
      </c>
      <c r="L16" s="76" t="s">
        <v>24</v>
      </c>
      <c r="M16" s="81">
        <v>2900</v>
      </c>
      <c r="N16" s="80">
        <v>79</v>
      </c>
      <c r="O16" s="93">
        <f>0.665*0.465*0.343</f>
        <v>0.10606417500000002</v>
      </c>
      <c r="Q16" s="94"/>
      <c r="R16" s="94"/>
      <c r="S16" s="94"/>
      <c r="T16" s="94"/>
      <c r="U16" s="94"/>
      <c r="V16" s="94"/>
      <c r="W16" s="94"/>
      <c r="X16" s="94"/>
    </row>
    <row r="17" spans="1:24" s="47" customFormat="1" ht="18" customHeight="1" thickBot="1" x14ac:dyDescent="0.3">
      <c r="B17" s="91" t="s">
        <v>828</v>
      </c>
      <c r="C17" s="76">
        <v>5.5</v>
      </c>
      <c r="D17" s="77">
        <v>7.5</v>
      </c>
      <c r="E17" s="77">
        <v>12.5</v>
      </c>
      <c r="F17" s="77">
        <v>50</v>
      </c>
      <c r="G17" s="92" t="s">
        <v>51</v>
      </c>
      <c r="H17" s="193"/>
      <c r="I17" s="209"/>
      <c r="J17" s="203">
        <v>100590548</v>
      </c>
      <c r="K17" s="33">
        <v>998.81927812799995</v>
      </c>
      <c r="L17" s="76" t="s">
        <v>24</v>
      </c>
      <c r="M17" s="81">
        <v>2900</v>
      </c>
      <c r="N17" s="80">
        <v>104</v>
      </c>
      <c r="O17" s="93">
        <f>0.728*0.465*0.343</f>
        <v>0.11611236000000001</v>
      </c>
      <c r="Q17" s="94"/>
      <c r="R17" s="94"/>
      <c r="S17" s="94"/>
      <c r="T17" s="94"/>
      <c r="U17" s="94"/>
      <c r="V17" s="94"/>
      <c r="W17" s="94"/>
      <c r="X17" s="94"/>
    </row>
    <row r="18" spans="1:24" s="47" customFormat="1" ht="18" customHeight="1" thickBot="1" x14ac:dyDescent="0.3">
      <c r="A18" s="18"/>
      <c r="B18" s="91" t="s">
        <v>829</v>
      </c>
      <c r="C18" s="76">
        <v>0.75</v>
      </c>
      <c r="D18" s="77">
        <v>1.5</v>
      </c>
      <c r="E18" s="77">
        <v>8</v>
      </c>
      <c r="F18" s="77">
        <v>14</v>
      </c>
      <c r="G18" s="92" t="s">
        <v>52</v>
      </c>
      <c r="H18" s="193"/>
      <c r="I18" s="209"/>
      <c r="J18" s="203">
        <v>100590549</v>
      </c>
      <c r="K18" s="33">
        <v>418</v>
      </c>
      <c r="L18" s="76" t="s">
        <v>24</v>
      </c>
      <c r="M18" s="81">
        <v>2900</v>
      </c>
      <c r="N18" s="80">
        <v>40</v>
      </c>
      <c r="O18" s="93">
        <v>4.1753279999999997E-2</v>
      </c>
      <c r="Q18" s="94"/>
      <c r="R18" s="94"/>
      <c r="S18" s="94"/>
      <c r="T18" s="94"/>
      <c r="U18" s="94"/>
      <c r="V18" s="94"/>
      <c r="W18" s="94"/>
      <c r="X18" s="94"/>
    </row>
    <row r="19" spans="1:24" s="47" customFormat="1" ht="18" customHeight="1" thickBot="1" x14ac:dyDescent="0.3">
      <c r="B19" s="91" t="s">
        <v>830</v>
      </c>
      <c r="C19" s="76">
        <v>1.1000000000000001</v>
      </c>
      <c r="D19" s="77">
        <v>1.5</v>
      </c>
      <c r="E19" s="77">
        <v>12.5</v>
      </c>
      <c r="F19" s="77">
        <v>16</v>
      </c>
      <c r="G19" s="92" t="s">
        <v>52</v>
      </c>
      <c r="H19" s="193"/>
      <c r="I19" s="209"/>
      <c r="J19" s="203">
        <v>100590550</v>
      </c>
      <c r="K19" s="33">
        <v>417.52934999999997</v>
      </c>
      <c r="L19" s="76" t="s">
        <v>24</v>
      </c>
      <c r="M19" s="81">
        <v>2900</v>
      </c>
      <c r="N19" s="80">
        <v>40</v>
      </c>
      <c r="O19" s="93">
        <f>0.488*0.345*0.248</f>
        <v>4.1753279999999997E-2</v>
      </c>
      <c r="Q19" s="94"/>
      <c r="R19" s="94"/>
      <c r="S19" s="94"/>
      <c r="T19" s="94"/>
      <c r="U19" s="94"/>
      <c r="V19" s="94"/>
      <c r="W19" s="94"/>
      <c r="X19" s="94"/>
    </row>
    <row r="20" spans="1:24" s="47" customFormat="1" ht="18" customHeight="1" thickBot="1" x14ac:dyDescent="0.3">
      <c r="B20" s="91" t="s">
        <v>831</v>
      </c>
      <c r="C20" s="76">
        <v>1.5</v>
      </c>
      <c r="D20" s="77">
        <v>2</v>
      </c>
      <c r="E20" s="31">
        <v>12.5</v>
      </c>
      <c r="F20" s="77">
        <v>21</v>
      </c>
      <c r="G20" s="92" t="s">
        <v>52</v>
      </c>
      <c r="H20" s="193"/>
      <c r="I20" s="209"/>
      <c r="J20" s="203">
        <v>100590551</v>
      </c>
      <c r="K20" s="33">
        <v>474</v>
      </c>
      <c r="L20" s="76" t="s">
        <v>24</v>
      </c>
      <c r="M20" s="81">
        <v>2900</v>
      </c>
      <c r="N20" s="80">
        <v>46</v>
      </c>
      <c r="O20" s="93">
        <f>0.543*0.345*0.248</f>
        <v>4.645908E-2</v>
      </c>
      <c r="Q20" s="94"/>
      <c r="R20" s="94"/>
      <c r="S20" s="94"/>
      <c r="T20" s="94"/>
      <c r="U20" s="94"/>
      <c r="V20" s="94"/>
      <c r="W20" s="94"/>
      <c r="X20" s="94"/>
    </row>
    <row r="21" spans="1:24" s="47" customFormat="1" ht="18" customHeight="1" thickBot="1" x14ac:dyDescent="0.3">
      <c r="B21" s="91" t="s">
        <v>936</v>
      </c>
      <c r="C21" s="76">
        <v>2.2000000000000002</v>
      </c>
      <c r="D21" s="77">
        <v>3</v>
      </c>
      <c r="E21" s="31">
        <v>20</v>
      </c>
      <c r="F21" s="77">
        <v>20</v>
      </c>
      <c r="G21" s="92" t="s">
        <v>52</v>
      </c>
      <c r="H21" s="192"/>
      <c r="I21" s="239">
        <v>558</v>
      </c>
      <c r="J21" s="203">
        <v>100590552</v>
      </c>
      <c r="K21" s="33">
        <v>526.59915033599998</v>
      </c>
      <c r="L21" s="76" t="s">
        <v>24</v>
      </c>
      <c r="M21" s="81">
        <v>2900</v>
      </c>
      <c r="N21" s="80">
        <v>53</v>
      </c>
      <c r="O21" s="93">
        <f>0.582*0.365*0.26</f>
        <v>5.5231799999999998E-2</v>
      </c>
      <c r="Q21" s="94"/>
      <c r="R21" s="94"/>
      <c r="S21" s="94"/>
      <c r="T21" s="94"/>
      <c r="U21" s="94"/>
      <c r="V21" s="94"/>
      <c r="W21" s="94"/>
      <c r="X21" s="94"/>
    </row>
    <row r="22" spans="1:24" s="47" customFormat="1" ht="18" customHeight="1" thickBot="1" x14ac:dyDescent="0.3">
      <c r="B22" s="91" t="s">
        <v>935</v>
      </c>
      <c r="C22" s="76">
        <v>3</v>
      </c>
      <c r="D22" s="77">
        <v>4</v>
      </c>
      <c r="E22" s="77">
        <v>20</v>
      </c>
      <c r="F22" s="77">
        <v>26</v>
      </c>
      <c r="G22" s="92" t="s">
        <v>52</v>
      </c>
      <c r="H22" s="193"/>
      <c r="I22" s="209"/>
      <c r="J22" s="203">
        <v>100590553</v>
      </c>
      <c r="K22" s="33">
        <v>645.82326446399986</v>
      </c>
      <c r="L22" s="76" t="s">
        <v>24</v>
      </c>
      <c r="M22" s="81">
        <v>2900</v>
      </c>
      <c r="N22" s="80">
        <v>70</v>
      </c>
      <c r="O22" s="93">
        <f>0.655*0.365*0.297</f>
        <v>7.1005274999999993E-2</v>
      </c>
      <c r="Q22" s="94"/>
      <c r="R22" s="94"/>
      <c r="S22" s="94"/>
      <c r="T22" s="94"/>
      <c r="U22" s="94"/>
      <c r="V22" s="94"/>
      <c r="W22" s="94"/>
      <c r="X22" s="94"/>
    </row>
    <row r="23" spans="1:24" s="47" customFormat="1" ht="18" customHeight="1" thickBot="1" x14ac:dyDescent="0.3">
      <c r="B23" s="91" t="s">
        <v>934</v>
      </c>
      <c r="C23" s="76">
        <v>4</v>
      </c>
      <c r="D23" s="77">
        <v>5.5</v>
      </c>
      <c r="E23" s="77">
        <v>25</v>
      </c>
      <c r="F23" s="77">
        <v>30</v>
      </c>
      <c r="G23" s="92" t="s">
        <v>52</v>
      </c>
      <c r="H23" s="192"/>
      <c r="I23" s="239">
        <v>956</v>
      </c>
      <c r="J23" s="203">
        <v>100590554</v>
      </c>
      <c r="K23" s="33">
        <v>751</v>
      </c>
      <c r="L23" s="76" t="s">
        <v>24</v>
      </c>
      <c r="M23" s="81">
        <v>2900</v>
      </c>
      <c r="N23" s="80">
        <v>77</v>
      </c>
      <c r="O23" s="93">
        <f>0.565*0.365*0.297</f>
        <v>6.1248824999999986E-2</v>
      </c>
      <c r="Q23" s="94"/>
      <c r="R23" s="94"/>
      <c r="S23" s="94"/>
      <c r="T23" s="94"/>
      <c r="U23" s="94"/>
      <c r="V23" s="94"/>
      <c r="W23" s="94"/>
      <c r="X23" s="94"/>
    </row>
    <row r="24" spans="1:24" s="47" customFormat="1" ht="18" customHeight="1" thickBot="1" x14ac:dyDescent="0.3">
      <c r="B24" s="91" t="s">
        <v>933</v>
      </c>
      <c r="C24" s="76">
        <v>5.5</v>
      </c>
      <c r="D24" s="77">
        <v>7.5</v>
      </c>
      <c r="E24" s="77">
        <v>25</v>
      </c>
      <c r="F24" s="77">
        <v>36</v>
      </c>
      <c r="G24" s="92" t="s">
        <v>52</v>
      </c>
      <c r="H24" s="193"/>
      <c r="I24" s="209"/>
      <c r="J24" s="203">
        <v>100590555</v>
      </c>
      <c r="K24" s="33">
        <v>1008.661836672</v>
      </c>
      <c r="L24" s="76" t="s">
        <v>24</v>
      </c>
      <c r="M24" s="81">
        <v>2900</v>
      </c>
      <c r="N24" s="80">
        <v>106</v>
      </c>
      <c r="O24" s="93">
        <f>0.738*0.465*0.318</f>
        <v>0.10912806000000001</v>
      </c>
      <c r="Q24" s="94"/>
      <c r="R24" s="94"/>
      <c r="S24" s="94"/>
      <c r="T24" s="94"/>
      <c r="U24" s="94"/>
      <c r="V24" s="94"/>
      <c r="W24" s="94"/>
      <c r="X24" s="94"/>
    </row>
    <row r="25" spans="1:24" s="47" customFormat="1" ht="18" customHeight="1" thickBot="1" x14ac:dyDescent="0.3">
      <c r="B25" s="91" t="s">
        <v>932</v>
      </c>
      <c r="C25" s="76">
        <v>7.5</v>
      </c>
      <c r="D25" s="77">
        <v>10</v>
      </c>
      <c r="E25" s="77">
        <v>25</v>
      </c>
      <c r="F25" s="77">
        <v>48</v>
      </c>
      <c r="G25" s="92" t="s">
        <v>52</v>
      </c>
      <c r="H25" s="193"/>
      <c r="I25" s="209"/>
      <c r="J25" s="203">
        <v>100590556</v>
      </c>
      <c r="K25" s="33">
        <v>1040</v>
      </c>
      <c r="L25" s="76" t="s">
        <v>24</v>
      </c>
      <c r="M25" s="81">
        <v>2900</v>
      </c>
      <c r="N25" s="80">
        <v>110</v>
      </c>
      <c r="O25" s="93">
        <f>0.738*0.465*0.318</f>
        <v>0.10912806000000001</v>
      </c>
      <c r="Q25" s="94"/>
      <c r="R25" s="94"/>
      <c r="S25" s="94"/>
      <c r="T25" s="94"/>
      <c r="U25" s="94"/>
      <c r="V25" s="94"/>
      <c r="W25" s="94"/>
      <c r="X25" s="94"/>
    </row>
    <row r="26" spans="1:24" s="47" customFormat="1" ht="18" customHeight="1" thickBot="1" x14ac:dyDescent="0.3">
      <c r="B26" s="91" t="s">
        <v>931</v>
      </c>
      <c r="C26" s="76">
        <v>1.1000000000000001</v>
      </c>
      <c r="D26" s="77">
        <v>1.5</v>
      </c>
      <c r="E26" s="77">
        <v>16</v>
      </c>
      <c r="F26" s="77">
        <v>12</v>
      </c>
      <c r="G26" s="92" t="s">
        <v>44</v>
      </c>
      <c r="H26" s="193"/>
      <c r="I26" s="209"/>
      <c r="J26" s="203">
        <v>100590557</v>
      </c>
      <c r="K26" s="33">
        <v>493</v>
      </c>
      <c r="L26" s="76" t="s">
        <v>24</v>
      </c>
      <c r="M26" s="81">
        <v>2900</v>
      </c>
      <c r="N26" s="80">
        <v>56</v>
      </c>
      <c r="O26" s="93">
        <f>0.538*0.365*0.287</f>
        <v>5.6358190000000002E-2</v>
      </c>
      <c r="Q26" s="94"/>
      <c r="R26" s="94"/>
      <c r="S26" s="94"/>
      <c r="T26" s="94"/>
      <c r="U26" s="94"/>
      <c r="V26" s="94"/>
      <c r="W26" s="94"/>
      <c r="X26" s="94"/>
    </row>
    <row r="27" spans="1:24" s="47" customFormat="1" ht="18" customHeight="1" thickBot="1" x14ac:dyDescent="0.3">
      <c r="B27" s="91" t="s">
        <v>930</v>
      </c>
      <c r="C27" s="76">
        <v>1.5</v>
      </c>
      <c r="D27" s="77">
        <v>2</v>
      </c>
      <c r="E27" s="77">
        <v>20</v>
      </c>
      <c r="F27" s="77">
        <v>15</v>
      </c>
      <c r="G27" s="92" t="s">
        <v>44</v>
      </c>
      <c r="H27" s="193"/>
      <c r="I27" s="209"/>
      <c r="J27" s="203">
        <v>100590558</v>
      </c>
      <c r="K27" s="33">
        <v>541</v>
      </c>
      <c r="L27" s="76" t="s">
        <v>24</v>
      </c>
      <c r="M27" s="81">
        <v>2900</v>
      </c>
      <c r="N27" s="80">
        <v>62</v>
      </c>
      <c r="O27" s="93">
        <f>0.583*0.365*0.287</f>
        <v>6.1072164999999991E-2</v>
      </c>
      <c r="Q27" s="94"/>
      <c r="R27" s="94"/>
      <c r="S27" s="94"/>
      <c r="T27" s="94"/>
      <c r="U27" s="94"/>
      <c r="V27" s="94"/>
      <c r="W27" s="94"/>
      <c r="X27" s="94"/>
    </row>
    <row r="28" spans="1:24" s="47" customFormat="1" ht="18" customHeight="1" thickBot="1" x14ac:dyDescent="0.3">
      <c r="B28" s="91" t="s">
        <v>929</v>
      </c>
      <c r="C28" s="76">
        <v>2.2000000000000002</v>
      </c>
      <c r="D28" s="77">
        <v>3</v>
      </c>
      <c r="E28" s="77">
        <v>25</v>
      </c>
      <c r="F28" s="77">
        <v>18</v>
      </c>
      <c r="G28" s="92" t="s">
        <v>44</v>
      </c>
      <c r="H28" s="193"/>
      <c r="I28" s="209"/>
      <c r="J28" s="203">
        <v>100590559</v>
      </c>
      <c r="K28" s="33">
        <v>578</v>
      </c>
      <c r="L28" s="76" t="s">
        <v>24</v>
      </c>
      <c r="M28" s="81">
        <v>2900</v>
      </c>
      <c r="N28" s="80">
        <v>65</v>
      </c>
      <c r="O28" s="93">
        <f>0.583*0.365*0.287</f>
        <v>6.1072164999999991E-2</v>
      </c>
      <c r="Q28" s="94"/>
      <c r="R28" s="94"/>
      <c r="S28" s="94"/>
      <c r="T28" s="94"/>
      <c r="U28" s="94"/>
      <c r="V28" s="94"/>
      <c r="W28" s="94"/>
      <c r="X28" s="94"/>
    </row>
    <row r="29" spans="1:24" s="47" customFormat="1" ht="18" customHeight="1" thickBot="1" x14ac:dyDescent="0.3">
      <c r="B29" s="91" t="s">
        <v>928</v>
      </c>
      <c r="C29" s="76">
        <v>3</v>
      </c>
      <c r="D29" s="77">
        <v>4</v>
      </c>
      <c r="E29" s="77">
        <v>25</v>
      </c>
      <c r="F29" s="77">
        <v>24</v>
      </c>
      <c r="G29" s="92" t="s">
        <v>44</v>
      </c>
      <c r="H29" s="193"/>
      <c r="I29" s="209"/>
      <c r="J29" s="203">
        <v>100590560</v>
      </c>
      <c r="K29" s="33">
        <v>675.75176827199994</v>
      </c>
      <c r="L29" s="76" t="s">
        <v>24</v>
      </c>
      <c r="M29" s="81">
        <v>2900</v>
      </c>
      <c r="N29" s="80">
        <v>74</v>
      </c>
      <c r="O29" s="93">
        <f>0.657*0.365*0.287</f>
        <v>6.8824035000000006E-2</v>
      </c>
      <c r="Q29" s="94"/>
      <c r="R29" s="94"/>
      <c r="S29" s="94"/>
      <c r="T29" s="94"/>
      <c r="U29" s="94"/>
      <c r="V29" s="94"/>
      <c r="W29" s="94"/>
      <c r="X29" s="94"/>
    </row>
    <row r="30" spans="1:24" s="47" customFormat="1" ht="18" customHeight="1" thickBot="1" x14ac:dyDescent="0.3">
      <c r="B30" s="91" t="s">
        <v>927</v>
      </c>
      <c r="C30" s="76">
        <v>4</v>
      </c>
      <c r="D30" s="77">
        <v>5.5</v>
      </c>
      <c r="E30" s="77">
        <v>30</v>
      </c>
      <c r="F30" s="77">
        <v>28</v>
      </c>
      <c r="G30" s="92" t="s">
        <v>44</v>
      </c>
      <c r="H30" s="193"/>
      <c r="I30" s="209"/>
      <c r="J30" s="203">
        <v>100590561</v>
      </c>
      <c r="K30" s="33">
        <v>781</v>
      </c>
      <c r="L30" s="76" t="s">
        <v>24</v>
      </c>
      <c r="M30" s="81">
        <v>2900</v>
      </c>
      <c r="N30" s="80">
        <v>79</v>
      </c>
      <c r="O30" s="93">
        <f>0.67*0.365*0.299</f>
        <v>7.3120450000000003E-2</v>
      </c>
      <c r="Q30" s="94"/>
      <c r="R30" s="94"/>
      <c r="S30" s="94"/>
      <c r="T30" s="94"/>
      <c r="U30" s="94"/>
      <c r="V30" s="94"/>
      <c r="W30" s="94"/>
      <c r="X30" s="94"/>
    </row>
    <row r="31" spans="1:24" s="47" customFormat="1" ht="18" customHeight="1" thickBot="1" x14ac:dyDescent="0.3">
      <c r="B31" s="91" t="s">
        <v>926</v>
      </c>
      <c r="C31" s="76">
        <v>3</v>
      </c>
      <c r="D31" s="77">
        <v>4</v>
      </c>
      <c r="E31" s="77">
        <v>12.5</v>
      </c>
      <c r="F31" s="77">
        <v>32</v>
      </c>
      <c r="G31" s="92" t="s">
        <v>44</v>
      </c>
      <c r="H31" s="193"/>
      <c r="I31" s="209"/>
      <c r="J31" s="203">
        <v>100590562</v>
      </c>
      <c r="K31" s="33">
        <v>716</v>
      </c>
      <c r="L31" s="76" t="s">
        <v>24</v>
      </c>
      <c r="M31" s="81">
        <v>2900</v>
      </c>
      <c r="N31" s="80">
        <v>65</v>
      </c>
      <c r="O31" s="93">
        <f>0.637*0.425*0.311</f>
        <v>8.4195474999999992E-2</v>
      </c>
      <c r="Q31" s="94"/>
      <c r="R31" s="94"/>
      <c r="S31" s="94"/>
      <c r="T31" s="94"/>
      <c r="U31" s="94"/>
      <c r="V31" s="94"/>
      <c r="W31" s="94"/>
      <c r="X31" s="94"/>
    </row>
    <row r="32" spans="1:24" s="47" customFormat="1" ht="18" customHeight="1" thickBot="1" x14ac:dyDescent="0.3">
      <c r="B32" s="91" t="s">
        <v>925</v>
      </c>
      <c r="C32" s="76">
        <v>5.5</v>
      </c>
      <c r="D32" s="77">
        <v>7.5</v>
      </c>
      <c r="E32" s="77">
        <v>30</v>
      </c>
      <c r="F32" s="77">
        <v>35</v>
      </c>
      <c r="G32" s="92" t="s">
        <v>44</v>
      </c>
      <c r="H32" s="193"/>
      <c r="I32" s="209"/>
      <c r="J32" s="203">
        <v>100590563</v>
      </c>
      <c r="K32" s="33">
        <v>983.85502622399986</v>
      </c>
      <c r="L32" s="76" t="s">
        <v>24</v>
      </c>
      <c r="M32" s="81">
        <v>2900</v>
      </c>
      <c r="N32" s="80">
        <v>103</v>
      </c>
      <c r="O32" s="93">
        <f>0.727*0.365*0.299</f>
        <v>7.9341145000000002E-2</v>
      </c>
      <c r="Q32" s="94"/>
      <c r="R32" s="94"/>
      <c r="S32" s="94"/>
      <c r="T32" s="94"/>
      <c r="U32" s="94"/>
      <c r="V32" s="94"/>
      <c r="W32" s="94"/>
      <c r="X32" s="94"/>
    </row>
    <row r="33" spans="2:24" s="47" customFormat="1" ht="18" customHeight="1" thickBot="1" x14ac:dyDescent="0.3">
      <c r="B33" s="91" t="s">
        <v>924</v>
      </c>
      <c r="C33" s="76">
        <v>4</v>
      </c>
      <c r="D33" s="77">
        <v>5.5</v>
      </c>
      <c r="E33" s="77">
        <v>12.5</v>
      </c>
      <c r="F33" s="77">
        <v>39</v>
      </c>
      <c r="G33" s="92" t="s">
        <v>44</v>
      </c>
      <c r="H33" s="193"/>
      <c r="I33" s="209"/>
      <c r="J33" s="203">
        <v>100590564</v>
      </c>
      <c r="K33" s="33">
        <v>821</v>
      </c>
      <c r="L33" s="76" t="s">
        <v>24</v>
      </c>
      <c r="M33" s="81">
        <v>2900</v>
      </c>
      <c r="N33" s="80">
        <v>71</v>
      </c>
      <c r="O33" s="93">
        <f>0.647*0.425*0.311</f>
        <v>8.5517225000000002E-2</v>
      </c>
      <c r="Q33" s="94"/>
      <c r="R33" s="94"/>
      <c r="S33" s="94"/>
      <c r="T33" s="94"/>
      <c r="U33" s="94"/>
      <c r="V33" s="94"/>
      <c r="W33" s="94"/>
      <c r="X33" s="94"/>
    </row>
    <row r="34" spans="2:24" s="47" customFormat="1" ht="18" customHeight="1" thickBot="1" x14ac:dyDescent="0.3">
      <c r="B34" s="91" t="s">
        <v>923</v>
      </c>
      <c r="C34" s="76">
        <v>7.5</v>
      </c>
      <c r="D34" s="77">
        <v>10</v>
      </c>
      <c r="E34" s="77">
        <v>35</v>
      </c>
      <c r="F34" s="77">
        <v>40</v>
      </c>
      <c r="G34" s="92" t="s">
        <v>44</v>
      </c>
      <c r="H34" s="193"/>
      <c r="I34" s="209"/>
      <c r="J34" s="203">
        <v>100590565</v>
      </c>
      <c r="K34" s="33">
        <v>1094</v>
      </c>
      <c r="L34" s="76" t="s">
        <v>24</v>
      </c>
      <c r="M34" s="81">
        <v>2900</v>
      </c>
      <c r="N34" s="80">
        <v>118</v>
      </c>
      <c r="O34" s="93">
        <f>0.717*0.465*0.384</f>
        <v>0.12802752000000001</v>
      </c>
      <c r="Q34" s="94"/>
      <c r="R34" s="94"/>
      <c r="S34" s="94"/>
      <c r="T34" s="94"/>
      <c r="U34" s="94"/>
      <c r="V34" s="94"/>
      <c r="W34" s="94"/>
      <c r="X34" s="94"/>
    </row>
    <row r="35" spans="2:24" s="47" customFormat="1" ht="18" customHeight="1" thickBot="1" x14ac:dyDescent="0.3">
      <c r="B35" s="91" t="s">
        <v>922</v>
      </c>
      <c r="C35" s="76">
        <v>5.5</v>
      </c>
      <c r="D35" s="77">
        <v>7.5</v>
      </c>
      <c r="E35" s="77">
        <v>12.5</v>
      </c>
      <c r="F35" s="77">
        <v>49</v>
      </c>
      <c r="G35" s="92" t="s">
        <v>44</v>
      </c>
      <c r="H35" s="193"/>
      <c r="I35" s="209"/>
      <c r="J35" s="203">
        <v>100590566</v>
      </c>
      <c r="K35" s="33">
        <v>1040</v>
      </c>
      <c r="L35" s="76" t="s">
        <v>24</v>
      </c>
      <c r="M35" s="81">
        <v>2900</v>
      </c>
      <c r="N35" s="80">
        <v>85</v>
      </c>
      <c r="O35" s="93">
        <f>0.706*0.425*0.311</f>
        <v>9.3315549999999997E-2</v>
      </c>
      <c r="Q35" s="94"/>
      <c r="R35" s="94"/>
      <c r="S35" s="94"/>
      <c r="T35" s="94"/>
      <c r="U35" s="94"/>
      <c r="V35" s="94"/>
      <c r="W35" s="94"/>
      <c r="X35" s="94"/>
    </row>
    <row r="36" spans="2:24" s="47" customFormat="1" ht="18" customHeight="1" thickBot="1" x14ac:dyDescent="0.3">
      <c r="B36" s="91" t="s">
        <v>921</v>
      </c>
      <c r="C36" s="76">
        <v>11</v>
      </c>
      <c r="D36" s="77">
        <v>15</v>
      </c>
      <c r="E36" s="77">
        <v>40</v>
      </c>
      <c r="F36" s="77">
        <v>50</v>
      </c>
      <c r="G36" s="92" t="s">
        <v>44</v>
      </c>
      <c r="H36" s="193"/>
      <c r="I36" s="209"/>
      <c r="J36" s="203">
        <v>100590567</v>
      </c>
      <c r="K36" s="33">
        <v>1487</v>
      </c>
      <c r="L36" s="76" t="s">
        <v>24</v>
      </c>
      <c r="M36" s="81">
        <v>2900</v>
      </c>
      <c r="N36" s="80">
        <v>181</v>
      </c>
      <c r="O36" s="93">
        <f>0.89*0.465*0.46</f>
        <v>0.19037100000000004</v>
      </c>
      <c r="Q36" s="94"/>
      <c r="R36" s="94"/>
      <c r="S36" s="94"/>
      <c r="T36" s="94"/>
      <c r="U36" s="94"/>
      <c r="V36" s="94"/>
      <c r="W36" s="94"/>
      <c r="X36" s="94"/>
    </row>
    <row r="37" spans="2:24" s="47" customFormat="1" ht="18" customHeight="1" thickBot="1" x14ac:dyDescent="0.3">
      <c r="B37" s="96" t="s">
        <v>920</v>
      </c>
      <c r="C37" s="76">
        <v>7.5</v>
      </c>
      <c r="D37" s="77">
        <v>10</v>
      </c>
      <c r="E37" s="77">
        <v>12.5</v>
      </c>
      <c r="F37" s="77">
        <v>59</v>
      </c>
      <c r="G37" s="92" t="s">
        <v>44</v>
      </c>
      <c r="H37" s="193"/>
      <c r="I37" s="209"/>
      <c r="J37" s="203">
        <v>100590568</v>
      </c>
      <c r="K37" s="86">
        <v>1152.7372977120001</v>
      </c>
      <c r="L37" s="76" t="s">
        <v>24</v>
      </c>
      <c r="M37" s="81">
        <v>2900</v>
      </c>
      <c r="N37" s="80">
        <v>110</v>
      </c>
      <c r="O37" s="93">
        <f>0.716*0.465*0.381</f>
        <v>0.12685014</v>
      </c>
      <c r="Q37" s="94"/>
      <c r="R37" s="94"/>
      <c r="S37" s="94"/>
      <c r="T37" s="94"/>
      <c r="U37" s="94"/>
      <c r="V37" s="94"/>
      <c r="W37" s="94"/>
      <c r="X37" s="94"/>
    </row>
    <row r="38" spans="2:24" s="47" customFormat="1" ht="18" customHeight="1" thickBot="1" x14ac:dyDescent="0.3">
      <c r="B38" s="95" t="s">
        <v>919</v>
      </c>
      <c r="C38" s="76">
        <v>15</v>
      </c>
      <c r="D38" s="77">
        <v>20</v>
      </c>
      <c r="E38" s="77">
        <v>50</v>
      </c>
      <c r="F38" s="77">
        <v>60</v>
      </c>
      <c r="G38" s="92" t="s">
        <v>44</v>
      </c>
      <c r="H38" s="193"/>
      <c r="I38" s="209"/>
      <c r="J38" s="203">
        <v>100590569</v>
      </c>
      <c r="K38" s="86">
        <v>1595.0289216959998</v>
      </c>
      <c r="L38" s="76" t="s">
        <v>24</v>
      </c>
      <c r="M38" s="81">
        <v>2900</v>
      </c>
      <c r="N38" s="80">
        <v>191</v>
      </c>
      <c r="O38" s="93">
        <f>0.89*0.465*0.46</f>
        <v>0.19037100000000004</v>
      </c>
      <c r="Q38" s="94"/>
      <c r="R38" s="94"/>
      <c r="S38" s="94"/>
      <c r="T38" s="94"/>
      <c r="U38" s="94"/>
      <c r="V38" s="94"/>
      <c r="W38" s="94"/>
      <c r="X38" s="94"/>
    </row>
    <row r="39" spans="2:24" s="47" customFormat="1" ht="18" customHeight="1" thickBot="1" x14ac:dyDescent="0.3">
      <c r="B39" s="95" t="s">
        <v>918</v>
      </c>
      <c r="C39" s="76">
        <v>18.5</v>
      </c>
      <c r="D39" s="77">
        <v>25</v>
      </c>
      <c r="E39" s="77">
        <v>50</v>
      </c>
      <c r="F39" s="77">
        <v>70</v>
      </c>
      <c r="G39" s="92" t="s">
        <v>44</v>
      </c>
      <c r="H39" s="193"/>
      <c r="I39" s="209"/>
      <c r="J39" s="203">
        <v>100590570</v>
      </c>
      <c r="K39" s="86">
        <v>1684.4136049439999</v>
      </c>
      <c r="L39" s="76" t="s">
        <v>24</v>
      </c>
      <c r="M39" s="81">
        <v>2900</v>
      </c>
      <c r="N39" s="80">
        <v>209</v>
      </c>
      <c r="O39" s="93">
        <f>0.94*0.465*0.46</f>
        <v>0.20106599999999999</v>
      </c>
      <c r="Q39" s="94"/>
      <c r="R39" s="94"/>
      <c r="S39" s="94"/>
      <c r="T39" s="94"/>
      <c r="U39" s="94"/>
      <c r="V39" s="94"/>
      <c r="W39" s="94"/>
      <c r="X39" s="94"/>
    </row>
    <row r="40" spans="2:24" s="47" customFormat="1" ht="18" customHeight="1" thickBot="1" x14ac:dyDescent="0.3">
      <c r="B40" s="95" t="s">
        <v>917</v>
      </c>
      <c r="C40" s="76">
        <v>11</v>
      </c>
      <c r="D40" s="77">
        <v>15</v>
      </c>
      <c r="E40" s="77">
        <v>12.5</v>
      </c>
      <c r="F40" s="77">
        <v>80</v>
      </c>
      <c r="G40" s="92" t="s">
        <v>44</v>
      </c>
      <c r="H40" s="193"/>
      <c r="I40" s="209"/>
      <c r="J40" s="203">
        <v>100590571</v>
      </c>
      <c r="K40" s="86">
        <v>1555.3023958079998</v>
      </c>
      <c r="L40" s="76" t="s">
        <v>24</v>
      </c>
      <c r="M40" s="81">
        <v>2900</v>
      </c>
      <c r="N40" s="80">
        <v>185</v>
      </c>
      <c r="O40" s="93">
        <f>0.826*0.465*0.46</f>
        <v>0.17668139999999999</v>
      </c>
      <c r="Q40" s="94"/>
      <c r="R40" s="94"/>
      <c r="S40" s="94"/>
      <c r="T40" s="94"/>
      <c r="U40" s="94"/>
      <c r="V40" s="94"/>
      <c r="W40" s="94"/>
      <c r="X40" s="94"/>
    </row>
    <row r="41" spans="2:24" s="47" customFormat="1" ht="18" customHeight="1" thickBot="1" x14ac:dyDescent="0.3">
      <c r="B41" s="95" t="s">
        <v>916</v>
      </c>
      <c r="C41" s="76">
        <v>22</v>
      </c>
      <c r="D41" s="77">
        <v>30</v>
      </c>
      <c r="E41" s="77">
        <v>50</v>
      </c>
      <c r="F41" s="77">
        <v>81</v>
      </c>
      <c r="G41" s="92" t="s">
        <v>44</v>
      </c>
      <c r="H41" s="193"/>
      <c r="I41" s="209"/>
      <c r="J41" s="203">
        <v>100590572</v>
      </c>
      <c r="K41" s="86">
        <v>2032.2879252479997</v>
      </c>
      <c r="L41" s="76" t="s">
        <v>24</v>
      </c>
      <c r="M41" s="81">
        <v>2900</v>
      </c>
      <c r="N41" s="80">
        <v>245</v>
      </c>
      <c r="O41" s="93">
        <f>0.965*0.465*0.46</f>
        <v>0.2064135</v>
      </c>
      <c r="Q41" s="94"/>
      <c r="R41" s="94"/>
      <c r="S41" s="94"/>
      <c r="T41" s="94"/>
      <c r="U41" s="94"/>
      <c r="V41" s="94"/>
      <c r="W41" s="94"/>
      <c r="X41" s="94"/>
    </row>
    <row r="42" spans="2:24" s="47" customFormat="1" ht="18" customHeight="1" thickBot="1" x14ac:dyDescent="0.3">
      <c r="B42" s="91" t="s">
        <v>915</v>
      </c>
      <c r="C42" s="76">
        <v>2.2000000000000002</v>
      </c>
      <c r="D42" s="77">
        <v>3</v>
      </c>
      <c r="E42" s="77">
        <v>30</v>
      </c>
      <c r="F42" s="77">
        <v>15</v>
      </c>
      <c r="G42" s="92" t="s">
        <v>45</v>
      </c>
      <c r="H42" s="193"/>
      <c r="I42" s="209"/>
      <c r="J42" s="203">
        <v>100590573</v>
      </c>
      <c r="K42" s="33">
        <v>587</v>
      </c>
      <c r="L42" s="76" t="s">
        <v>24</v>
      </c>
      <c r="M42" s="81">
        <v>2900</v>
      </c>
      <c r="N42" s="80">
        <v>65</v>
      </c>
      <c r="O42" s="93">
        <f>0.592*0.385*0.321</f>
        <v>7.3162320000000003E-2</v>
      </c>
      <c r="Q42" s="94"/>
      <c r="R42" s="94"/>
      <c r="S42" s="94"/>
      <c r="T42" s="94"/>
      <c r="U42" s="94"/>
      <c r="V42" s="94"/>
      <c r="W42" s="94"/>
      <c r="X42" s="94"/>
    </row>
    <row r="43" spans="2:24" s="47" customFormat="1" ht="18" customHeight="1" thickBot="1" x14ac:dyDescent="0.3">
      <c r="B43" s="91" t="s">
        <v>914</v>
      </c>
      <c r="C43" s="76">
        <v>3</v>
      </c>
      <c r="D43" s="77">
        <v>4</v>
      </c>
      <c r="E43" s="77">
        <v>30</v>
      </c>
      <c r="F43" s="77">
        <v>20</v>
      </c>
      <c r="G43" s="92" t="s">
        <v>45</v>
      </c>
      <c r="H43" s="193"/>
      <c r="I43" s="209"/>
      <c r="J43" s="203">
        <v>100590574</v>
      </c>
      <c r="K43" s="33">
        <v>685.59432681599992</v>
      </c>
      <c r="L43" s="76" t="s">
        <v>24</v>
      </c>
      <c r="M43" s="81">
        <v>2900</v>
      </c>
      <c r="N43" s="80">
        <v>74</v>
      </c>
      <c r="O43" s="93">
        <f>0.666*0.385*0.321</f>
        <v>8.2307610000000017E-2</v>
      </c>
      <c r="Q43" s="94"/>
      <c r="R43" s="94"/>
      <c r="S43" s="94"/>
      <c r="T43" s="94"/>
      <c r="U43" s="94"/>
      <c r="V43" s="94"/>
      <c r="W43" s="94"/>
      <c r="X43" s="94"/>
    </row>
    <row r="44" spans="2:24" s="47" customFormat="1" ht="18" customHeight="1" thickBot="1" x14ac:dyDescent="0.3">
      <c r="B44" s="91" t="s">
        <v>913</v>
      </c>
      <c r="C44" s="76">
        <v>4</v>
      </c>
      <c r="D44" s="77">
        <v>5.5</v>
      </c>
      <c r="E44" s="77">
        <v>40</v>
      </c>
      <c r="F44" s="77">
        <v>22</v>
      </c>
      <c r="G44" s="92" t="s">
        <v>45</v>
      </c>
      <c r="H44" s="193"/>
      <c r="I44" s="209"/>
      <c r="J44" s="203">
        <v>100590575</v>
      </c>
      <c r="K44" s="33">
        <v>791</v>
      </c>
      <c r="L44" s="76" t="s">
        <v>24</v>
      </c>
      <c r="M44" s="81">
        <v>2900</v>
      </c>
      <c r="N44" s="80">
        <v>81</v>
      </c>
      <c r="O44" s="93">
        <f>0.676*0.385*0.321</f>
        <v>8.3543460000000014E-2</v>
      </c>
      <c r="Q44" s="94"/>
      <c r="R44" s="94"/>
      <c r="S44" s="94"/>
      <c r="T44" s="94"/>
      <c r="U44" s="94"/>
      <c r="V44" s="94"/>
      <c r="W44" s="94"/>
      <c r="X44" s="94"/>
    </row>
    <row r="45" spans="2:24" s="47" customFormat="1" ht="18" customHeight="1" thickBot="1" x14ac:dyDescent="0.3">
      <c r="B45" s="91" t="s">
        <v>912</v>
      </c>
      <c r="C45" s="76">
        <v>5.5</v>
      </c>
      <c r="D45" s="77">
        <v>7.5</v>
      </c>
      <c r="E45" s="77">
        <v>40</v>
      </c>
      <c r="F45" s="77">
        <v>30</v>
      </c>
      <c r="G45" s="92" t="s">
        <v>45</v>
      </c>
      <c r="H45" s="193"/>
      <c r="I45" s="209"/>
      <c r="J45" s="203">
        <v>100590576</v>
      </c>
      <c r="K45" s="33">
        <v>993.74212123199993</v>
      </c>
      <c r="L45" s="76" t="s">
        <v>24</v>
      </c>
      <c r="M45" s="81">
        <v>2900</v>
      </c>
      <c r="N45" s="80">
        <v>105</v>
      </c>
      <c r="O45" s="93">
        <f>0.733*0.385*0.321</f>
        <v>9.0587804999999993E-2</v>
      </c>
      <c r="Q45" s="94"/>
      <c r="R45" s="94"/>
      <c r="S45" s="94"/>
      <c r="T45" s="94"/>
      <c r="U45" s="94"/>
      <c r="V45" s="94"/>
      <c r="W45" s="94"/>
      <c r="X45" s="94"/>
    </row>
    <row r="46" spans="2:24" s="47" customFormat="1" ht="18" customHeight="1" thickBot="1" x14ac:dyDescent="0.3">
      <c r="B46" s="91" t="s">
        <v>911</v>
      </c>
      <c r="C46" s="76">
        <v>7.5</v>
      </c>
      <c r="D46" s="77">
        <v>10</v>
      </c>
      <c r="E46" s="77">
        <v>50</v>
      </c>
      <c r="F46" s="77">
        <v>34</v>
      </c>
      <c r="G46" s="92" t="s">
        <v>45</v>
      </c>
      <c r="H46" s="193"/>
      <c r="I46" s="209"/>
      <c r="J46" s="203">
        <v>100590577</v>
      </c>
      <c r="K46" s="33">
        <v>1018.5043952160001</v>
      </c>
      <c r="L46" s="76" t="s">
        <v>24</v>
      </c>
      <c r="M46" s="81">
        <v>2900</v>
      </c>
      <c r="N46" s="80">
        <v>108</v>
      </c>
      <c r="O46" s="93">
        <f>0.733*0.385*0.321</f>
        <v>9.0587804999999993E-2</v>
      </c>
      <c r="Q46" s="94"/>
      <c r="R46" s="94"/>
      <c r="S46" s="94"/>
      <c r="T46" s="94"/>
      <c r="U46" s="94"/>
      <c r="V46" s="94"/>
      <c r="W46" s="94"/>
      <c r="X46" s="94"/>
    </row>
    <row r="47" spans="2:24" s="47" customFormat="1" ht="18" customHeight="1" thickBot="1" x14ac:dyDescent="0.3">
      <c r="B47" s="91" t="s">
        <v>910</v>
      </c>
      <c r="C47" s="76">
        <v>5.5</v>
      </c>
      <c r="D47" s="77">
        <v>7.5</v>
      </c>
      <c r="E47" s="77">
        <v>25</v>
      </c>
      <c r="F47" s="77">
        <v>37</v>
      </c>
      <c r="G47" s="92" t="s">
        <v>45</v>
      </c>
      <c r="H47" s="193"/>
      <c r="I47" s="209"/>
      <c r="J47" s="203">
        <v>100590578</v>
      </c>
      <c r="K47" s="33">
        <v>1053.5100559199998</v>
      </c>
      <c r="L47" s="76" t="s">
        <v>24</v>
      </c>
      <c r="M47" s="81">
        <v>2900</v>
      </c>
      <c r="N47" s="80">
        <v>87</v>
      </c>
      <c r="O47" s="93">
        <f>0.714*0.425*0.311</f>
        <v>9.4372949999999997E-2</v>
      </c>
      <c r="Q47" s="94"/>
      <c r="R47" s="94"/>
      <c r="S47" s="94"/>
      <c r="T47" s="94"/>
      <c r="U47" s="94"/>
      <c r="V47" s="94"/>
      <c r="W47" s="94"/>
      <c r="X47" s="94"/>
    </row>
    <row r="48" spans="2:24" s="47" customFormat="1" ht="18" customHeight="1" thickBot="1" x14ac:dyDescent="0.3">
      <c r="B48" s="91" t="s">
        <v>909</v>
      </c>
      <c r="C48" s="76">
        <v>11</v>
      </c>
      <c r="D48" s="77">
        <v>15</v>
      </c>
      <c r="E48" s="77">
        <v>50</v>
      </c>
      <c r="F48" s="77">
        <v>41</v>
      </c>
      <c r="G48" s="92" t="s">
        <v>45</v>
      </c>
      <c r="H48" s="193"/>
      <c r="I48" s="209"/>
      <c r="J48" s="203">
        <v>100590579</v>
      </c>
      <c r="K48" s="33">
        <v>1495.4899246560003</v>
      </c>
      <c r="L48" s="76" t="s">
        <v>24</v>
      </c>
      <c r="M48" s="81">
        <v>2900</v>
      </c>
      <c r="N48" s="80">
        <v>183</v>
      </c>
      <c r="O48" s="93">
        <f>0.912*0.495*0.46</f>
        <v>0.20766240000000002</v>
      </c>
      <c r="Q48" s="94"/>
      <c r="R48" s="94"/>
      <c r="S48" s="94"/>
      <c r="T48" s="94"/>
      <c r="U48" s="94"/>
      <c r="V48" s="94"/>
      <c r="W48" s="94"/>
      <c r="X48" s="94"/>
    </row>
    <row r="49" spans="2:24" s="47" customFormat="1" ht="18" customHeight="1" thickBot="1" x14ac:dyDescent="0.3">
      <c r="B49" s="91" t="s">
        <v>908</v>
      </c>
      <c r="C49" s="76">
        <v>7.5</v>
      </c>
      <c r="D49" s="77">
        <v>10</v>
      </c>
      <c r="E49" s="77">
        <v>25</v>
      </c>
      <c r="F49" s="77">
        <v>48</v>
      </c>
      <c r="G49" s="92" t="s">
        <v>45</v>
      </c>
      <c r="H49" s="193"/>
      <c r="I49" s="209"/>
      <c r="J49" s="203">
        <v>100590580</v>
      </c>
      <c r="K49" s="33">
        <v>1078.3168663679999</v>
      </c>
      <c r="L49" s="76" t="s">
        <v>24</v>
      </c>
      <c r="M49" s="81">
        <v>2900</v>
      </c>
      <c r="N49" s="80">
        <v>91</v>
      </c>
      <c r="O49" s="93">
        <f>0.714*0.425*0.311</f>
        <v>9.4372949999999997E-2</v>
      </c>
      <c r="Q49" s="94"/>
      <c r="R49" s="94"/>
      <c r="S49" s="94"/>
      <c r="T49" s="94"/>
      <c r="U49" s="94"/>
      <c r="V49" s="94"/>
      <c r="W49" s="94"/>
      <c r="X49" s="94"/>
    </row>
    <row r="50" spans="2:24" s="47" customFormat="1" ht="18" customHeight="1" thickBot="1" x14ac:dyDescent="0.3">
      <c r="B50" s="91" t="s">
        <v>907</v>
      </c>
      <c r="C50" s="76">
        <v>15</v>
      </c>
      <c r="D50" s="77">
        <v>20</v>
      </c>
      <c r="E50" s="77">
        <v>50</v>
      </c>
      <c r="F50" s="77">
        <v>51</v>
      </c>
      <c r="G50" s="92" t="s">
        <v>45</v>
      </c>
      <c r="H50" s="193"/>
      <c r="I50" s="209"/>
      <c r="J50" s="203">
        <v>100590581</v>
      </c>
      <c r="K50" s="33">
        <v>1606</v>
      </c>
      <c r="L50" s="76" t="s">
        <v>24</v>
      </c>
      <c r="M50" s="81">
        <v>2900</v>
      </c>
      <c r="N50" s="80">
        <v>193</v>
      </c>
      <c r="O50" s="93">
        <f>0.912*0.5*0.46</f>
        <v>0.20976000000000003</v>
      </c>
      <c r="Q50" s="94"/>
      <c r="R50" s="94"/>
      <c r="S50" s="94"/>
      <c r="T50" s="94"/>
      <c r="U50" s="94"/>
      <c r="V50" s="94"/>
      <c r="W50" s="94"/>
      <c r="X50" s="94"/>
    </row>
    <row r="51" spans="2:24" s="47" customFormat="1" ht="18" customHeight="1" thickBot="1" x14ac:dyDescent="0.3">
      <c r="B51" s="95" t="s">
        <v>906</v>
      </c>
      <c r="C51" s="76">
        <v>18.5</v>
      </c>
      <c r="D51" s="77">
        <v>25</v>
      </c>
      <c r="E51" s="77">
        <v>50</v>
      </c>
      <c r="F51" s="77">
        <v>61</v>
      </c>
      <c r="G51" s="92" t="s">
        <v>45</v>
      </c>
      <c r="H51" s="193"/>
      <c r="I51" s="209"/>
      <c r="J51" s="203">
        <v>100590582</v>
      </c>
      <c r="K51" s="86">
        <v>1694.2561634879999</v>
      </c>
      <c r="L51" s="76" t="s">
        <v>24</v>
      </c>
      <c r="M51" s="81">
        <v>2900</v>
      </c>
      <c r="N51" s="80">
        <v>210</v>
      </c>
      <c r="O51" s="93">
        <f>0.962*0.5*0.46</f>
        <v>0.22126000000000001</v>
      </c>
      <c r="Q51" s="94"/>
      <c r="R51" s="94"/>
      <c r="S51" s="94"/>
      <c r="T51" s="94"/>
      <c r="U51" s="94"/>
      <c r="V51" s="94"/>
      <c r="W51" s="94"/>
      <c r="X51" s="94"/>
    </row>
    <row r="52" spans="2:24" s="47" customFormat="1" ht="18" customHeight="1" thickBot="1" x14ac:dyDescent="0.3">
      <c r="B52" s="96" t="s">
        <v>905</v>
      </c>
      <c r="C52" s="76">
        <v>32</v>
      </c>
      <c r="D52" s="77">
        <v>43</v>
      </c>
      <c r="E52" s="77">
        <v>50</v>
      </c>
      <c r="F52" s="77">
        <v>68</v>
      </c>
      <c r="G52" s="92" t="s">
        <v>45</v>
      </c>
      <c r="H52" s="193"/>
      <c r="I52" s="209"/>
      <c r="J52" s="203">
        <v>100590583</v>
      </c>
      <c r="K52" s="86">
        <v>2047.2076406879996</v>
      </c>
      <c r="L52" s="76" t="s">
        <v>24</v>
      </c>
      <c r="M52" s="81">
        <v>2900</v>
      </c>
      <c r="N52" s="80">
        <v>248</v>
      </c>
      <c r="O52" s="93">
        <f>0.987*0.5*0.46</f>
        <v>0.22701000000000002</v>
      </c>
      <c r="Q52" s="94"/>
      <c r="R52" s="94"/>
      <c r="S52" s="94"/>
      <c r="T52" s="94"/>
      <c r="U52" s="94"/>
      <c r="V52" s="94"/>
      <c r="W52" s="94"/>
      <c r="X52" s="94"/>
    </row>
    <row r="53" spans="2:24" s="47" customFormat="1" ht="18" customHeight="1" thickBot="1" x14ac:dyDescent="0.3">
      <c r="B53" s="96" t="s">
        <v>904</v>
      </c>
      <c r="C53" s="76">
        <v>30</v>
      </c>
      <c r="D53" s="77">
        <v>40</v>
      </c>
      <c r="E53" s="77">
        <v>50</v>
      </c>
      <c r="F53" s="77">
        <v>85</v>
      </c>
      <c r="G53" s="92" t="s">
        <v>45</v>
      </c>
      <c r="H53" s="193"/>
      <c r="I53" s="209"/>
      <c r="J53" s="203">
        <v>100590584</v>
      </c>
      <c r="K53" s="86">
        <v>2697.8408432639994</v>
      </c>
      <c r="L53" s="76" t="s">
        <v>24</v>
      </c>
      <c r="M53" s="81">
        <v>2900</v>
      </c>
      <c r="N53" s="80">
        <v>309</v>
      </c>
      <c r="O53" s="93">
        <f>1.062*0.5*0.51</f>
        <v>0.27081</v>
      </c>
      <c r="Q53" s="94"/>
      <c r="R53" s="94"/>
      <c r="S53" s="94"/>
      <c r="T53" s="94"/>
      <c r="U53" s="94"/>
      <c r="V53" s="94"/>
      <c r="W53" s="94"/>
      <c r="X53" s="94"/>
    </row>
    <row r="54" spans="2:24" s="47" customFormat="1" ht="18" customHeight="1" thickBot="1" x14ac:dyDescent="0.3">
      <c r="B54" s="91" t="s">
        <v>903</v>
      </c>
      <c r="C54" s="76">
        <v>3</v>
      </c>
      <c r="D54" s="77">
        <v>4</v>
      </c>
      <c r="E54" s="77">
        <v>50</v>
      </c>
      <c r="F54" s="77">
        <v>13</v>
      </c>
      <c r="G54" s="92" t="s">
        <v>46</v>
      </c>
      <c r="H54" s="193"/>
      <c r="I54" s="209"/>
      <c r="J54" s="203">
        <v>100590585</v>
      </c>
      <c r="K54" s="33">
        <v>735.5197029599999</v>
      </c>
      <c r="L54" s="76" t="s">
        <v>24</v>
      </c>
      <c r="M54" s="81">
        <v>2900</v>
      </c>
      <c r="N54" s="80">
        <v>84</v>
      </c>
      <c r="O54" s="93">
        <f>0.686*0.475*0.321</f>
        <v>0.10459785000000001</v>
      </c>
      <c r="Q54" s="94"/>
      <c r="R54" s="94"/>
      <c r="S54" s="94"/>
      <c r="T54" s="94"/>
      <c r="U54" s="94"/>
      <c r="V54" s="94"/>
      <c r="W54" s="94"/>
      <c r="X54" s="94"/>
    </row>
    <row r="55" spans="2:24" s="47" customFormat="1" ht="18" customHeight="1" thickBot="1" x14ac:dyDescent="0.3">
      <c r="B55" s="91" t="s">
        <v>902</v>
      </c>
      <c r="C55" s="76">
        <v>4</v>
      </c>
      <c r="D55" s="77">
        <v>5.5</v>
      </c>
      <c r="E55" s="77">
        <v>50</v>
      </c>
      <c r="F55" s="77">
        <v>18</v>
      </c>
      <c r="G55" s="92" t="s">
        <v>46</v>
      </c>
      <c r="H55" s="193"/>
      <c r="I55" s="209"/>
      <c r="J55" s="203">
        <v>100590586</v>
      </c>
      <c r="K55" s="33">
        <v>831</v>
      </c>
      <c r="L55" s="76" t="s">
        <v>24</v>
      </c>
      <c r="M55" s="81">
        <v>2900</v>
      </c>
      <c r="N55" s="80">
        <v>91</v>
      </c>
      <c r="O55" s="93">
        <f>0.696*0.475*0.321</f>
        <v>0.10612259999999998</v>
      </c>
      <c r="Q55" s="94"/>
      <c r="R55" s="94"/>
      <c r="S55" s="94"/>
      <c r="T55" s="94"/>
      <c r="U55" s="94"/>
      <c r="V55" s="94"/>
      <c r="W55" s="94"/>
      <c r="X55" s="94"/>
    </row>
    <row r="56" spans="2:24" s="47" customFormat="1" ht="18" customHeight="1" thickBot="1" x14ac:dyDescent="0.3">
      <c r="B56" s="91" t="s">
        <v>901</v>
      </c>
      <c r="C56" s="76">
        <v>5.5</v>
      </c>
      <c r="D56" s="77">
        <v>7.5</v>
      </c>
      <c r="E56" s="77">
        <v>50</v>
      </c>
      <c r="F56" s="77">
        <v>23</v>
      </c>
      <c r="G56" s="92" t="s">
        <v>46</v>
      </c>
      <c r="H56" s="193"/>
      <c r="I56" s="209"/>
      <c r="J56" s="203">
        <v>100590587</v>
      </c>
      <c r="K56" s="33">
        <v>1044</v>
      </c>
      <c r="L56" s="76" t="s">
        <v>24</v>
      </c>
      <c r="M56" s="81">
        <v>2900</v>
      </c>
      <c r="N56" s="80">
        <v>114</v>
      </c>
      <c r="O56" s="93">
        <f>0.753*0.475*0.321</f>
        <v>0.11481367499999999</v>
      </c>
      <c r="Q56" s="94"/>
      <c r="R56" s="94"/>
      <c r="S56" s="94"/>
      <c r="T56" s="94"/>
      <c r="U56" s="94"/>
      <c r="V56" s="94"/>
      <c r="W56" s="94"/>
      <c r="X56" s="94"/>
    </row>
    <row r="57" spans="2:24" s="47" customFormat="1" ht="18" customHeight="1" thickBot="1" x14ac:dyDescent="0.3">
      <c r="B57" s="91" t="s">
        <v>900</v>
      </c>
      <c r="C57" s="76">
        <v>7.5</v>
      </c>
      <c r="D57" s="77">
        <v>10</v>
      </c>
      <c r="E57" s="77">
        <v>50</v>
      </c>
      <c r="F57" s="77">
        <v>29</v>
      </c>
      <c r="G57" s="92" t="s">
        <v>46</v>
      </c>
      <c r="H57" s="193"/>
      <c r="I57" s="209"/>
      <c r="J57" s="203">
        <v>100590588</v>
      </c>
      <c r="K57" s="33">
        <v>1068.1180161119999</v>
      </c>
      <c r="L57" s="76" t="s">
        <v>24</v>
      </c>
      <c r="M57" s="81">
        <v>2900</v>
      </c>
      <c r="N57" s="80">
        <v>117</v>
      </c>
      <c r="O57" s="93">
        <f>0.753*0.475*0.321</f>
        <v>0.11481367499999999</v>
      </c>
      <c r="Q57" s="94"/>
      <c r="R57" s="94"/>
      <c r="S57" s="94"/>
      <c r="T57" s="94"/>
      <c r="U57" s="94"/>
      <c r="V57" s="94"/>
      <c r="W57" s="94"/>
      <c r="X57" s="94"/>
    </row>
    <row r="58" spans="2:24" s="47" customFormat="1" ht="18" customHeight="1" thickBot="1" x14ac:dyDescent="0.3">
      <c r="B58" s="91" t="s">
        <v>899</v>
      </c>
      <c r="C58" s="76">
        <v>11</v>
      </c>
      <c r="D58" s="77">
        <v>15</v>
      </c>
      <c r="E58" s="77">
        <v>80</v>
      </c>
      <c r="F58" s="77">
        <v>30</v>
      </c>
      <c r="G58" s="92" t="s">
        <v>46</v>
      </c>
      <c r="H58" s="193"/>
      <c r="I58" s="209"/>
      <c r="J58" s="203">
        <v>100590589</v>
      </c>
      <c r="K58" s="33">
        <v>1541</v>
      </c>
      <c r="L58" s="76" t="s">
        <v>24</v>
      </c>
      <c r="M58" s="81">
        <v>2900</v>
      </c>
      <c r="N58" s="80">
        <v>194</v>
      </c>
      <c r="O58" s="93">
        <f>0.919*0.525*0.46</f>
        <v>0.22193850000000004</v>
      </c>
      <c r="Q58" s="94"/>
      <c r="R58" s="94"/>
      <c r="S58" s="94"/>
      <c r="T58" s="94"/>
      <c r="U58" s="94"/>
      <c r="V58" s="94"/>
      <c r="W58" s="94"/>
      <c r="X58" s="94"/>
    </row>
    <row r="59" spans="2:24" s="47" customFormat="1" ht="18" customHeight="1" thickBot="1" x14ac:dyDescent="0.3">
      <c r="B59" s="91" t="s">
        <v>898</v>
      </c>
      <c r="C59" s="76">
        <v>15</v>
      </c>
      <c r="D59" s="77">
        <v>20</v>
      </c>
      <c r="E59" s="77">
        <v>80</v>
      </c>
      <c r="F59" s="77">
        <v>38</v>
      </c>
      <c r="G59" s="92" t="s">
        <v>46</v>
      </c>
      <c r="H59" s="193"/>
      <c r="I59" s="209"/>
      <c r="J59" s="203">
        <v>100590590</v>
      </c>
      <c r="K59" s="33">
        <v>1646</v>
      </c>
      <c r="L59" s="76" t="s">
        <v>24</v>
      </c>
      <c r="M59" s="81">
        <v>2900</v>
      </c>
      <c r="N59" s="80">
        <v>204</v>
      </c>
      <c r="O59" s="93">
        <f>0.919*0.525*0.46</f>
        <v>0.22193850000000004</v>
      </c>
      <c r="Q59" s="94"/>
      <c r="R59" s="94"/>
      <c r="S59" s="94"/>
      <c r="T59" s="94"/>
      <c r="U59" s="94"/>
      <c r="V59" s="94"/>
      <c r="W59" s="94"/>
      <c r="X59" s="94"/>
    </row>
    <row r="60" spans="2:24" s="47" customFormat="1" ht="18" customHeight="1" thickBot="1" x14ac:dyDescent="0.3">
      <c r="B60" s="91" t="s">
        <v>897</v>
      </c>
      <c r="C60" s="76">
        <v>11</v>
      </c>
      <c r="D60" s="77">
        <v>15</v>
      </c>
      <c r="E60" s="77">
        <v>50</v>
      </c>
      <c r="F60" s="77">
        <v>40</v>
      </c>
      <c r="G60" s="92" t="s">
        <v>46</v>
      </c>
      <c r="H60" s="193"/>
      <c r="I60" s="209"/>
      <c r="J60" s="203">
        <v>100590591</v>
      </c>
      <c r="K60" s="33">
        <v>1506</v>
      </c>
      <c r="L60" s="76" t="s">
        <v>24</v>
      </c>
      <c r="M60" s="81">
        <v>2900</v>
      </c>
      <c r="N60" s="80">
        <v>170</v>
      </c>
      <c r="O60" s="93">
        <f>0.88*0.525*0.46</f>
        <v>0.21252000000000001</v>
      </c>
      <c r="Q60" s="94"/>
      <c r="R60" s="94"/>
      <c r="S60" s="94"/>
      <c r="T60" s="94"/>
      <c r="U60" s="94"/>
      <c r="V60" s="94"/>
      <c r="W60" s="94"/>
      <c r="X60" s="94"/>
    </row>
    <row r="61" spans="2:24" s="47" customFormat="1" ht="18" customHeight="1" thickBot="1" x14ac:dyDescent="0.3">
      <c r="B61" s="91" t="s">
        <v>896</v>
      </c>
      <c r="C61" s="76">
        <v>18.5</v>
      </c>
      <c r="D61" s="77">
        <v>25</v>
      </c>
      <c r="E61" s="77">
        <v>80</v>
      </c>
      <c r="F61" s="77">
        <v>47</v>
      </c>
      <c r="G61" s="92" t="s">
        <v>46</v>
      </c>
      <c r="H61" s="193"/>
      <c r="I61" s="209"/>
      <c r="J61" s="203">
        <v>100590592</v>
      </c>
      <c r="K61" s="33">
        <v>1733.9826893760001</v>
      </c>
      <c r="L61" s="76" t="s">
        <v>24</v>
      </c>
      <c r="M61" s="81">
        <v>2900</v>
      </c>
      <c r="N61" s="80">
        <v>222</v>
      </c>
      <c r="O61" s="93">
        <f>0.969*0.525*0.46</f>
        <v>0.23401350000000001</v>
      </c>
      <c r="Q61" s="94"/>
      <c r="R61" s="94"/>
      <c r="S61" s="94"/>
      <c r="T61" s="94"/>
      <c r="U61" s="94"/>
      <c r="V61" s="94"/>
      <c r="W61" s="94"/>
      <c r="X61" s="94"/>
    </row>
    <row r="62" spans="2:24" s="47" customFormat="1" ht="18" customHeight="1" thickBot="1" x14ac:dyDescent="0.3">
      <c r="B62" s="95" t="s">
        <v>895</v>
      </c>
      <c r="C62" s="76">
        <v>15</v>
      </c>
      <c r="D62" s="77">
        <v>20</v>
      </c>
      <c r="E62" s="77">
        <v>50</v>
      </c>
      <c r="F62" s="77">
        <v>48</v>
      </c>
      <c r="G62" s="92" t="s">
        <v>46</v>
      </c>
      <c r="H62" s="193"/>
      <c r="I62" s="209"/>
      <c r="J62" s="203">
        <v>100590593</v>
      </c>
      <c r="K62" s="86">
        <v>1619.8357321439998</v>
      </c>
      <c r="L62" s="76" t="s">
        <v>24</v>
      </c>
      <c r="M62" s="81">
        <v>2900</v>
      </c>
      <c r="N62" s="80">
        <v>181</v>
      </c>
      <c r="O62" s="93">
        <f>0.88*0.525*0.46</f>
        <v>0.21252000000000001</v>
      </c>
      <c r="Q62" s="94"/>
      <c r="R62" s="94"/>
      <c r="S62" s="94"/>
      <c r="T62" s="94"/>
      <c r="U62" s="94"/>
      <c r="V62" s="94"/>
      <c r="W62" s="94"/>
      <c r="X62" s="94"/>
    </row>
    <row r="63" spans="2:24" s="47" customFormat="1" ht="18" customHeight="1" thickBot="1" x14ac:dyDescent="0.3">
      <c r="B63" s="95" t="s">
        <v>894</v>
      </c>
      <c r="C63" s="76">
        <v>22</v>
      </c>
      <c r="D63" s="77">
        <v>30</v>
      </c>
      <c r="E63" s="77">
        <v>80</v>
      </c>
      <c r="F63" s="77">
        <v>54</v>
      </c>
      <c r="G63" s="92" t="s">
        <v>46</v>
      </c>
      <c r="H63" s="193"/>
      <c r="I63" s="209"/>
      <c r="J63" s="203">
        <v>100590594</v>
      </c>
      <c r="K63" s="86">
        <v>2081.9015461440003</v>
      </c>
      <c r="L63" s="76" t="s">
        <v>24</v>
      </c>
      <c r="M63" s="81">
        <v>2900</v>
      </c>
      <c r="N63" s="80">
        <v>258</v>
      </c>
      <c r="O63" s="93">
        <f>0.994*0.525*0.46</f>
        <v>0.24005100000000001</v>
      </c>
      <c r="Q63" s="94"/>
      <c r="R63" s="94"/>
      <c r="S63" s="94"/>
      <c r="T63" s="94"/>
      <c r="U63" s="94"/>
      <c r="V63" s="94"/>
      <c r="W63" s="94"/>
      <c r="X63" s="94"/>
    </row>
    <row r="64" spans="2:24" s="47" customFormat="1" ht="18" customHeight="1" thickBot="1" x14ac:dyDescent="0.3">
      <c r="B64" s="95" t="s">
        <v>893</v>
      </c>
      <c r="C64" s="76">
        <v>30</v>
      </c>
      <c r="D64" s="77">
        <v>40</v>
      </c>
      <c r="E64" s="77">
        <v>80</v>
      </c>
      <c r="F64" s="77">
        <v>67</v>
      </c>
      <c r="G64" s="92" t="s">
        <v>46</v>
      </c>
      <c r="H64" s="193"/>
      <c r="I64" s="209"/>
      <c r="J64" s="203">
        <v>100590595</v>
      </c>
      <c r="K64" s="86">
        <v>2727.7248106080001</v>
      </c>
      <c r="L64" s="76" t="s">
        <v>24</v>
      </c>
      <c r="M64" s="81">
        <v>2900</v>
      </c>
      <c r="N64" s="80">
        <v>319</v>
      </c>
      <c r="O64" s="93">
        <f>1.069*0.525*0.51</f>
        <v>0.28622474999999997</v>
      </c>
      <c r="Q64" s="94"/>
      <c r="R64" s="94"/>
      <c r="S64" s="94"/>
      <c r="T64" s="94"/>
      <c r="U64" s="94"/>
      <c r="V64" s="94"/>
      <c r="W64" s="94"/>
      <c r="X64" s="94"/>
    </row>
    <row r="65" spans="2:24" s="47" customFormat="1" ht="18" customHeight="1" thickBot="1" x14ac:dyDescent="0.3">
      <c r="B65" s="91" t="s">
        <v>892</v>
      </c>
      <c r="C65" s="76">
        <v>2.2000000000000002</v>
      </c>
      <c r="D65" s="77">
        <v>3</v>
      </c>
      <c r="E65" s="77">
        <v>50</v>
      </c>
      <c r="F65" s="77">
        <v>9</v>
      </c>
      <c r="G65" s="92" t="s">
        <v>47</v>
      </c>
      <c r="H65" s="193"/>
      <c r="I65" s="209"/>
      <c r="J65" s="203">
        <v>100590538</v>
      </c>
      <c r="K65" s="33">
        <v>602</v>
      </c>
      <c r="L65" s="76" t="s">
        <v>24</v>
      </c>
      <c r="M65" s="81">
        <v>2900</v>
      </c>
      <c r="N65" s="80">
        <v>65</v>
      </c>
      <c r="O65" s="93">
        <f>0.598*0.475*0.29</f>
        <v>8.2374499999999989E-2</v>
      </c>
      <c r="Q65" s="94"/>
      <c r="R65" s="94"/>
      <c r="S65" s="94"/>
      <c r="T65" s="94"/>
      <c r="U65" s="94"/>
      <c r="V65" s="94"/>
      <c r="W65" s="94"/>
      <c r="X65" s="94"/>
    </row>
    <row r="66" spans="2:24" s="47" customFormat="1" ht="18" customHeight="1" thickBot="1" x14ac:dyDescent="0.3">
      <c r="B66" s="91" t="s">
        <v>891</v>
      </c>
      <c r="C66" s="76">
        <v>4</v>
      </c>
      <c r="D66" s="77">
        <v>5.5</v>
      </c>
      <c r="E66" s="77">
        <v>60</v>
      </c>
      <c r="F66" s="77">
        <v>15</v>
      </c>
      <c r="G66" s="92" t="s">
        <v>47</v>
      </c>
      <c r="H66" s="193"/>
      <c r="I66" s="209"/>
      <c r="J66" s="203">
        <v>100589416</v>
      </c>
      <c r="K66" s="33">
        <v>804</v>
      </c>
      <c r="L66" s="76" t="s">
        <v>24</v>
      </c>
      <c r="M66" s="81">
        <v>2900</v>
      </c>
      <c r="N66" s="80">
        <v>83</v>
      </c>
      <c r="O66" s="93">
        <f>0.675*0.475*0.29</f>
        <v>9.2981249999999988E-2</v>
      </c>
      <c r="Q66" s="94"/>
      <c r="R66" s="94"/>
      <c r="S66" s="94"/>
      <c r="T66" s="94"/>
      <c r="U66" s="94"/>
      <c r="V66" s="94"/>
      <c r="W66" s="94"/>
      <c r="X66" s="94"/>
    </row>
    <row r="67" spans="2:24" s="47" customFormat="1" ht="18" customHeight="1" thickBot="1" x14ac:dyDescent="0.3">
      <c r="B67" s="91" t="s">
        <v>890</v>
      </c>
      <c r="C67" s="76">
        <v>5.5</v>
      </c>
      <c r="D67" s="77">
        <v>7.5</v>
      </c>
      <c r="E67" s="77">
        <v>80</v>
      </c>
      <c r="F67" s="77">
        <v>17</v>
      </c>
      <c r="G67" s="92" t="s">
        <v>47</v>
      </c>
      <c r="H67" s="193"/>
      <c r="I67" s="209"/>
      <c r="J67" s="203">
        <v>100589417</v>
      </c>
      <c r="K67" s="33">
        <v>1084</v>
      </c>
      <c r="L67" s="76" t="s">
        <v>24</v>
      </c>
      <c r="M67" s="81">
        <v>2900</v>
      </c>
      <c r="N67" s="80">
        <v>119</v>
      </c>
      <c r="O67" s="93">
        <f>0.77*0.525*0.322</f>
        <v>0.13016850000000002</v>
      </c>
      <c r="Q67" s="94"/>
      <c r="R67" s="94"/>
      <c r="S67" s="94"/>
      <c r="T67" s="94"/>
      <c r="U67" s="94"/>
      <c r="V67" s="94"/>
      <c r="W67" s="94"/>
      <c r="X67" s="94"/>
    </row>
    <row r="68" spans="2:24" s="47" customFormat="1" ht="18" customHeight="1" thickBot="1" x14ac:dyDescent="0.3">
      <c r="B68" s="91" t="s">
        <v>889</v>
      </c>
      <c r="C68" s="76">
        <v>7.5</v>
      </c>
      <c r="D68" s="77">
        <v>10</v>
      </c>
      <c r="E68" s="77">
        <v>80</v>
      </c>
      <c r="F68" s="77">
        <v>22</v>
      </c>
      <c r="G68" s="92" t="s">
        <v>47</v>
      </c>
      <c r="H68" s="193"/>
      <c r="I68" s="209"/>
      <c r="J68" s="203">
        <v>100589418</v>
      </c>
      <c r="K68" s="33">
        <v>1107.889078464</v>
      </c>
      <c r="L68" s="76" t="s">
        <v>24</v>
      </c>
      <c r="M68" s="81">
        <v>2900</v>
      </c>
      <c r="N68" s="80">
        <v>122</v>
      </c>
      <c r="O68" s="93">
        <f>0.77*0.525*0.322</f>
        <v>0.13016850000000002</v>
      </c>
      <c r="Q68" s="94"/>
      <c r="R68" s="94"/>
      <c r="S68" s="94"/>
      <c r="T68" s="94"/>
      <c r="U68" s="94"/>
      <c r="V68" s="94"/>
      <c r="W68" s="94"/>
      <c r="X68" s="94"/>
    </row>
    <row r="69" spans="2:24" s="47" customFormat="1" ht="18" customHeight="1" thickBot="1" x14ac:dyDescent="0.3">
      <c r="B69" s="91" t="s">
        <v>888</v>
      </c>
      <c r="C69" s="76">
        <v>11</v>
      </c>
      <c r="D69" s="77">
        <v>15</v>
      </c>
      <c r="E69" s="77">
        <v>100</v>
      </c>
      <c r="F69" s="77">
        <v>27</v>
      </c>
      <c r="G69" s="92" t="s">
        <v>47</v>
      </c>
      <c r="H69" s="193"/>
      <c r="I69" s="209"/>
      <c r="J69" s="203">
        <v>100590539</v>
      </c>
      <c r="K69" s="33">
        <v>1574.9875128960002</v>
      </c>
      <c r="L69" s="76" t="s">
        <v>24</v>
      </c>
      <c r="M69" s="81">
        <v>2900</v>
      </c>
      <c r="N69" s="80">
        <v>183</v>
      </c>
      <c r="O69" s="93">
        <f>0.925*0.575*0.46</f>
        <v>0.2446625</v>
      </c>
      <c r="Q69" s="94"/>
      <c r="R69" s="94"/>
      <c r="S69" s="94"/>
      <c r="T69" s="94"/>
      <c r="U69" s="94"/>
      <c r="V69" s="94"/>
      <c r="W69" s="94"/>
      <c r="X69" s="94"/>
    </row>
    <row r="70" spans="2:24" s="47" customFormat="1" ht="18" customHeight="1" thickBot="1" x14ac:dyDescent="0.3">
      <c r="B70" s="91" t="s">
        <v>887</v>
      </c>
      <c r="C70" s="76">
        <v>15</v>
      </c>
      <c r="D70" s="77">
        <v>20</v>
      </c>
      <c r="E70" s="77">
        <v>100</v>
      </c>
      <c r="F70" s="77">
        <v>33</v>
      </c>
      <c r="G70" s="92" t="s">
        <v>47</v>
      </c>
      <c r="H70" s="193"/>
      <c r="I70" s="209"/>
      <c r="J70" s="203">
        <v>100589419</v>
      </c>
      <c r="K70" s="33">
        <v>1695</v>
      </c>
      <c r="L70" s="76" t="s">
        <v>24</v>
      </c>
      <c r="M70" s="81">
        <v>2900</v>
      </c>
      <c r="N70" s="80">
        <v>194</v>
      </c>
      <c r="O70" s="93">
        <f>0.925*0.575*0.46</f>
        <v>0.2446625</v>
      </c>
      <c r="Q70" s="94"/>
      <c r="R70" s="94"/>
      <c r="S70" s="94"/>
      <c r="T70" s="94"/>
      <c r="U70" s="94"/>
      <c r="V70" s="94"/>
      <c r="W70" s="94"/>
      <c r="X70" s="94"/>
    </row>
    <row r="71" spans="2:24" s="47" customFormat="1" ht="18" customHeight="1" thickBot="1" x14ac:dyDescent="0.3">
      <c r="B71" s="91" t="s">
        <v>886</v>
      </c>
      <c r="C71" s="76">
        <v>18.5</v>
      </c>
      <c r="D71" s="77">
        <v>25</v>
      </c>
      <c r="E71" s="77">
        <v>100</v>
      </c>
      <c r="F71" s="77">
        <v>40</v>
      </c>
      <c r="G71" s="92" t="s">
        <v>47</v>
      </c>
      <c r="H71" s="193"/>
      <c r="I71" s="209"/>
      <c r="J71" s="203">
        <v>100589420</v>
      </c>
      <c r="K71" s="33">
        <v>1773.7537517279998</v>
      </c>
      <c r="L71" s="76" t="s">
        <v>24</v>
      </c>
      <c r="M71" s="81">
        <v>2900</v>
      </c>
      <c r="N71" s="80">
        <v>224</v>
      </c>
      <c r="O71" s="93">
        <f>0.985*0.575*0.46</f>
        <v>0.2605325</v>
      </c>
      <c r="Q71" s="94"/>
      <c r="R71" s="94"/>
      <c r="S71" s="94"/>
      <c r="T71" s="94"/>
      <c r="U71" s="94"/>
      <c r="V71" s="94"/>
      <c r="W71" s="94"/>
      <c r="X71" s="94"/>
    </row>
    <row r="72" spans="2:24" s="47" customFormat="1" ht="18" customHeight="1" thickBot="1" x14ac:dyDescent="0.3">
      <c r="B72" s="91" t="s">
        <v>885</v>
      </c>
      <c r="C72" s="76">
        <v>22</v>
      </c>
      <c r="D72" s="77">
        <v>30</v>
      </c>
      <c r="E72" s="77">
        <v>100</v>
      </c>
      <c r="F72" s="77">
        <v>48</v>
      </c>
      <c r="G72" s="92" t="s">
        <v>47</v>
      </c>
      <c r="H72" s="193"/>
      <c r="I72" s="209"/>
      <c r="J72" s="203">
        <v>100590540</v>
      </c>
      <c r="K72" s="33">
        <v>2130</v>
      </c>
      <c r="L72" s="76" t="s">
        <v>24</v>
      </c>
      <c r="M72" s="81">
        <v>2900</v>
      </c>
      <c r="N72" s="80">
        <v>260</v>
      </c>
      <c r="O72" s="93">
        <f>1.01*0.575*0.46</f>
        <v>0.26714500000000002</v>
      </c>
      <c r="Q72" s="94"/>
      <c r="R72" s="94"/>
      <c r="S72" s="94"/>
      <c r="T72" s="94"/>
      <c r="U72" s="94"/>
      <c r="V72" s="94"/>
      <c r="W72" s="94"/>
      <c r="X72" s="94"/>
    </row>
    <row r="73" spans="2:24" s="47" customFormat="1" ht="18" customHeight="1" thickBot="1" x14ac:dyDescent="0.3">
      <c r="B73" s="91" t="s">
        <v>884</v>
      </c>
      <c r="C73" s="76">
        <v>30</v>
      </c>
      <c r="D73" s="77">
        <v>40</v>
      </c>
      <c r="E73" s="77">
        <v>130</v>
      </c>
      <c r="F73" s="77">
        <v>52</v>
      </c>
      <c r="G73" s="92" t="s">
        <v>47</v>
      </c>
      <c r="H73" s="193"/>
      <c r="I73" s="209"/>
      <c r="J73" s="203">
        <v>100590541</v>
      </c>
      <c r="K73" s="33">
        <v>2747.7662194079999</v>
      </c>
      <c r="L73" s="76" t="s">
        <v>24</v>
      </c>
      <c r="M73" s="81">
        <v>2900</v>
      </c>
      <c r="N73" s="80">
        <v>318</v>
      </c>
      <c r="O73" s="93">
        <f>1.085*0.575*0.51</f>
        <v>0.31817624999999999</v>
      </c>
      <c r="Q73" s="94"/>
      <c r="R73" s="94"/>
      <c r="S73" s="94"/>
      <c r="T73" s="94"/>
      <c r="U73" s="94"/>
      <c r="V73" s="94"/>
      <c r="W73" s="94"/>
      <c r="X73" s="94"/>
    </row>
    <row r="74" spans="2:24" s="47" customFormat="1" ht="18" customHeight="1" thickBot="1" x14ac:dyDescent="0.3">
      <c r="B74" s="91" t="s">
        <v>883</v>
      </c>
      <c r="C74" s="76">
        <v>5.5</v>
      </c>
      <c r="D74" s="77">
        <v>7.5</v>
      </c>
      <c r="E74" s="77">
        <v>120</v>
      </c>
      <c r="F74" s="77">
        <v>11</v>
      </c>
      <c r="G74" s="92" t="s">
        <v>54</v>
      </c>
      <c r="H74" s="193"/>
      <c r="I74" s="209"/>
      <c r="J74" s="203">
        <v>100603920</v>
      </c>
      <c r="K74" s="33">
        <v>1465.6059573119999</v>
      </c>
      <c r="L74" s="76" t="s">
        <v>24</v>
      </c>
      <c r="M74" s="81">
        <v>1450</v>
      </c>
      <c r="N74" s="80">
        <v>166</v>
      </c>
      <c r="O74" s="93">
        <f>0.898*0.645*0.447</f>
        <v>0.25890687000000001</v>
      </c>
      <c r="Q74" s="94"/>
      <c r="R74" s="94"/>
      <c r="S74" s="94"/>
      <c r="T74" s="94"/>
      <c r="U74" s="94"/>
      <c r="V74" s="94"/>
      <c r="W74" s="94"/>
      <c r="X74" s="94"/>
    </row>
    <row r="75" spans="2:24" s="47" customFormat="1" ht="18" customHeight="1" thickBot="1" x14ac:dyDescent="0.3">
      <c r="B75" s="91" t="s">
        <v>882</v>
      </c>
      <c r="C75" s="76">
        <v>7.5</v>
      </c>
      <c r="D75" s="77">
        <v>10</v>
      </c>
      <c r="E75" s="77">
        <v>120</v>
      </c>
      <c r="F75" s="77">
        <v>14</v>
      </c>
      <c r="G75" s="92" t="s">
        <v>54</v>
      </c>
      <c r="H75" s="193"/>
      <c r="I75" s="209"/>
      <c r="J75" s="203">
        <v>100591675</v>
      </c>
      <c r="K75" s="33">
        <v>1511</v>
      </c>
      <c r="L75" s="76" t="s">
        <v>24</v>
      </c>
      <c r="M75" s="81">
        <v>1450</v>
      </c>
      <c r="N75" s="80">
        <v>179</v>
      </c>
      <c r="O75" s="93">
        <f>0.898*0.645*0.447</f>
        <v>0.25890687000000001</v>
      </c>
      <c r="Q75" s="94"/>
      <c r="R75" s="94"/>
      <c r="S75" s="94"/>
      <c r="T75" s="94"/>
      <c r="U75" s="94"/>
      <c r="V75" s="94"/>
      <c r="W75" s="94"/>
      <c r="X75" s="94"/>
    </row>
    <row r="76" spans="2:24" s="47" customFormat="1" ht="18" customHeight="1" thickBot="1" x14ac:dyDescent="0.3">
      <c r="B76" s="91" t="s">
        <v>881</v>
      </c>
      <c r="C76" s="76">
        <v>11</v>
      </c>
      <c r="D76" s="77">
        <v>15</v>
      </c>
      <c r="E76" s="77">
        <v>160</v>
      </c>
      <c r="F76" s="77">
        <v>18</v>
      </c>
      <c r="G76" s="92" t="s">
        <v>54</v>
      </c>
      <c r="H76" s="193"/>
      <c r="I76" s="209"/>
      <c r="J76" s="203">
        <v>100603922</v>
      </c>
      <c r="K76" s="33">
        <v>2180</v>
      </c>
      <c r="L76" s="76" t="s">
        <v>24</v>
      </c>
      <c r="M76" s="81">
        <v>1450</v>
      </c>
      <c r="N76" s="80">
        <v>257</v>
      </c>
      <c r="O76" s="93">
        <f>1.014*0.825*0.498</f>
        <v>0.41660190000000002</v>
      </c>
      <c r="Q76" s="94"/>
      <c r="R76" s="94"/>
      <c r="S76" s="94"/>
      <c r="T76" s="94"/>
      <c r="U76" s="94"/>
      <c r="V76" s="94"/>
      <c r="W76" s="94"/>
      <c r="X76" s="94"/>
    </row>
    <row r="77" spans="2:24" s="47" customFormat="1" ht="18" customHeight="1" thickBot="1" x14ac:dyDescent="0.3">
      <c r="B77" s="91" t="s">
        <v>880</v>
      </c>
      <c r="C77" s="76">
        <v>11</v>
      </c>
      <c r="D77" s="77">
        <v>15</v>
      </c>
      <c r="E77" s="77">
        <v>120</v>
      </c>
      <c r="F77" s="77">
        <v>20</v>
      </c>
      <c r="G77" s="92" t="s">
        <v>54</v>
      </c>
      <c r="H77" s="193"/>
      <c r="I77" s="209"/>
      <c r="J77" s="203">
        <v>100603923</v>
      </c>
      <c r="K77" s="33">
        <v>2360</v>
      </c>
      <c r="L77" s="76" t="s">
        <v>24</v>
      </c>
      <c r="M77" s="81">
        <v>1450</v>
      </c>
      <c r="N77" s="80">
        <v>289</v>
      </c>
      <c r="O77" s="93">
        <f>1.037*0.825*0.554</f>
        <v>0.47396084999999999</v>
      </c>
      <c r="Q77" s="94"/>
      <c r="R77" s="94"/>
      <c r="S77" s="94"/>
      <c r="T77" s="94"/>
      <c r="U77" s="94"/>
      <c r="V77" s="94"/>
      <c r="W77" s="94"/>
      <c r="X77" s="94"/>
    </row>
    <row r="78" spans="2:24" s="47" customFormat="1" ht="18" customHeight="1" thickBot="1" x14ac:dyDescent="0.3">
      <c r="B78" s="91" t="s">
        <v>879</v>
      </c>
      <c r="C78" s="76">
        <v>15</v>
      </c>
      <c r="D78" s="77">
        <v>20</v>
      </c>
      <c r="E78" s="77">
        <v>160</v>
      </c>
      <c r="F78" s="77">
        <v>22</v>
      </c>
      <c r="G78" s="92" t="s">
        <v>54</v>
      </c>
      <c r="H78" s="193"/>
      <c r="I78" s="209"/>
      <c r="J78" s="203">
        <v>100603924</v>
      </c>
      <c r="K78" s="33">
        <v>2470</v>
      </c>
      <c r="L78" s="76" t="s">
        <v>24</v>
      </c>
      <c r="M78" s="81">
        <v>1450</v>
      </c>
      <c r="N78" s="80">
        <v>302</v>
      </c>
      <c r="O78" s="93">
        <f>1.072*0.825*0.554</f>
        <v>0.48995760000000005</v>
      </c>
      <c r="Q78" s="94"/>
      <c r="R78" s="94"/>
      <c r="S78" s="94"/>
      <c r="T78" s="94"/>
      <c r="U78" s="94"/>
      <c r="V78" s="94"/>
      <c r="W78" s="94"/>
      <c r="X78" s="94"/>
    </row>
    <row r="79" spans="2:24" s="47" customFormat="1" ht="18" customHeight="1" thickBot="1" x14ac:dyDescent="0.3">
      <c r="B79" s="91" t="s">
        <v>878</v>
      </c>
      <c r="C79" s="76">
        <v>18.5</v>
      </c>
      <c r="D79" s="77">
        <v>25</v>
      </c>
      <c r="E79" s="77">
        <v>160</v>
      </c>
      <c r="F79" s="77">
        <v>28</v>
      </c>
      <c r="G79" s="92" t="s">
        <v>54</v>
      </c>
      <c r="H79" s="193"/>
      <c r="I79" s="209"/>
      <c r="J79" s="203">
        <v>100603925</v>
      </c>
      <c r="K79" s="33">
        <v>2800</v>
      </c>
      <c r="L79" s="76" t="s">
        <v>24</v>
      </c>
      <c r="M79" s="81">
        <v>1450</v>
      </c>
      <c r="N79" s="80">
        <v>321</v>
      </c>
      <c r="O79" s="93">
        <f>1.109*0.825*0.554</f>
        <v>0.50686845000000003</v>
      </c>
      <c r="Q79" s="94"/>
      <c r="R79" s="94"/>
      <c r="S79" s="94"/>
      <c r="T79" s="94"/>
      <c r="U79" s="94"/>
      <c r="V79" s="94"/>
      <c r="W79" s="94"/>
      <c r="X79" s="94"/>
    </row>
    <row r="80" spans="2:24" s="47" customFormat="1" ht="18" customHeight="1" thickBot="1" x14ac:dyDescent="0.3">
      <c r="B80" s="96" t="s">
        <v>877</v>
      </c>
      <c r="C80" s="76">
        <v>22</v>
      </c>
      <c r="D80" s="77">
        <v>30</v>
      </c>
      <c r="E80" s="77">
        <v>160</v>
      </c>
      <c r="F80" s="77">
        <v>32</v>
      </c>
      <c r="G80" s="92" t="s">
        <v>54</v>
      </c>
      <c r="H80" s="193"/>
      <c r="I80" s="209"/>
      <c r="J80" s="203"/>
      <c r="K80" s="86">
        <v>2896.5625456319999</v>
      </c>
      <c r="L80" s="76" t="s">
        <v>24</v>
      </c>
      <c r="M80" s="81">
        <v>1450</v>
      </c>
      <c r="N80" s="80">
        <v>356</v>
      </c>
      <c r="O80" s="93">
        <f>1.147*0.825*0.554</f>
        <v>0.52423635000000002</v>
      </c>
      <c r="Q80" s="94"/>
      <c r="R80" s="94"/>
      <c r="S80" s="94"/>
      <c r="T80" s="94"/>
      <c r="U80" s="94"/>
      <c r="V80" s="94"/>
      <c r="W80" s="94"/>
      <c r="X80" s="94"/>
    </row>
    <row r="81" spans="2:24" s="47" customFormat="1" ht="18" customHeight="1" thickBot="1" x14ac:dyDescent="0.3">
      <c r="B81" s="96" t="s">
        <v>876</v>
      </c>
      <c r="C81" s="76">
        <v>30</v>
      </c>
      <c r="D81" s="77">
        <v>40</v>
      </c>
      <c r="E81" s="77">
        <v>160</v>
      </c>
      <c r="F81" s="77">
        <v>40</v>
      </c>
      <c r="G81" s="92" t="s">
        <v>54</v>
      </c>
      <c r="H81" s="193"/>
      <c r="I81" s="209"/>
      <c r="J81" s="203"/>
      <c r="K81" s="86">
        <v>3517.9352913599996</v>
      </c>
      <c r="L81" s="76" t="s">
        <v>24</v>
      </c>
      <c r="M81" s="81">
        <v>1450</v>
      </c>
      <c r="N81" s="80">
        <v>442</v>
      </c>
      <c r="O81" s="93">
        <f>1.204*0.825*0.63</f>
        <v>0.62577899999999997</v>
      </c>
      <c r="Q81" s="94"/>
      <c r="R81" s="94"/>
      <c r="S81" s="94"/>
      <c r="T81" s="94"/>
      <c r="U81" s="94"/>
      <c r="V81" s="94"/>
      <c r="W81" s="94"/>
      <c r="X81" s="94"/>
    </row>
    <row r="82" spans="2:24" s="47" customFormat="1" ht="18" customHeight="1" thickBot="1" x14ac:dyDescent="0.3">
      <c r="B82" s="96" t="s">
        <v>875</v>
      </c>
      <c r="C82" s="76">
        <v>37</v>
      </c>
      <c r="D82" s="77">
        <v>50</v>
      </c>
      <c r="E82" s="77">
        <v>160</v>
      </c>
      <c r="F82" s="77">
        <v>48</v>
      </c>
      <c r="G82" s="92" t="s">
        <v>54</v>
      </c>
      <c r="H82" s="193"/>
      <c r="I82" s="209"/>
      <c r="J82" s="203"/>
      <c r="K82" s="114" t="s">
        <v>28</v>
      </c>
      <c r="L82" s="76" t="s">
        <v>24</v>
      </c>
      <c r="M82" s="81">
        <v>1450</v>
      </c>
      <c r="N82" s="80">
        <v>498</v>
      </c>
      <c r="O82" s="93">
        <f>1.229*0.825*0.63</f>
        <v>0.63877275</v>
      </c>
      <c r="Q82" s="94"/>
      <c r="R82" s="94"/>
      <c r="S82" s="94"/>
      <c r="T82" s="94"/>
      <c r="U82" s="94"/>
      <c r="V82" s="94"/>
      <c r="W82" s="94"/>
      <c r="X82" s="94"/>
    </row>
    <row r="83" spans="2:24" s="47" customFormat="1" ht="18" customHeight="1" thickBot="1" x14ac:dyDescent="0.3">
      <c r="B83" s="91" t="s">
        <v>874</v>
      </c>
      <c r="C83" s="76">
        <v>11</v>
      </c>
      <c r="D83" s="77">
        <v>15</v>
      </c>
      <c r="E83" s="77">
        <v>200</v>
      </c>
      <c r="F83" s="77">
        <v>12.5</v>
      </c>
      <c r="G83" s="92" t="s">
        <v>55</v>
      </c>
      <c r="H83" s="193"/>
      <c r="I83" s="209"/>
      <c r="J83" s="203">
        <v>100603926</v>
      </c>
      <c r="K83" s="33">
        <v>2280</v>
      </c>
      <c r="L83" s="76" t="s">
        <v>24</v>
      </c>
      <c r="M83" s="81">
        <v>1450</v>
      </c>
      <c r="N83" s="80">
        <v>275</v>
      </c>
      <c r="O83" s="93">
        <f>1.028*0.825*0.507</f>
        <v>0.4299867</v>
      </c>
      <c r="Q83" s="94"/>
      <c r="R83" s="94"/>
      <c r="S83" s="94"/>
      <c r="T83" s="94"/>
      <c r="U83" s="94"/>
      <c r="V83" s="94"/>
      <c r="W83" s="94"/>
      <c r="X83" s="94"/>
    </row>
    <row r="84" spans="2:24" s="47" customFormat="1" ht="18" customHeight="1" thickBot="1" x14ac:dyDescent="0.3">
      <c r="B84" s="91" t="s">
        <v>873</v>
      </c>
      <c r="C84" s="76">
        <v>15</v>
      </c>
      <c r="D84" s="77">
        <v>20</v>
      </c>
      <c r="E84" s="77">
        <v>200</v>
      </c>
      <c r="F84" s="77">
        <v>17</v>
      </c>
      <c r="G84" s="92" t="s">
        <v>55</v>
      </c>
      <c r="H84" s="193"/>
      <c r="I84" s="209"/>
      <c r="J84" s="203">
        <v>100603944</v>
      </c>
      <c r="K84" s="33">
        <v>2409.734457648</v>
      </c>
      <c r="L84" s="76" t="s">
        <v>24</v>
      </c>
      <c r="M84" s="81">
        <v>1450</v>
      </c>
      <c r="N84" s="80">
        <v>278</v>
      </c>
      <c r="O84" s="93">
        <f>1.07*0.825*0.507</f>
        <v>0.44755425000000004</v>
      </c>
      <c r="Q84" s="94"/>
      <c r="R84" s="94"/>
      <c r="S84" s="94"/>
      <c r="T84" s="94"/>
      <c r="U84" s="94"/>
      <c r="V84" s="94"/>
      <c r="W84" s="94"/>
      <c r="X84" s="94"/>
    </row>
    <row r="85" spans="2:24" s="47" customFormat="1" ht="18" customHeight="1" thickBot="1" x14ac:dyDescent="0.3">
      <c r="B85" s="91" t="s">
        <v>872</v>
      </c>
      <c r="C85" s="76">
        <v>18.5</v>
      </c>
      <c r="D85" s="77">
        <v>25</v>
      </c>
      <c r="E85" s="77">
        <v>200</v>
      </c>
      <c r="F85" s="77">
        <v>21</v>
      </c>
      <c r="G85" s="92" t="s">
        <v>55</v>
      </c>
      <c r="H85" s="193"/>
      <c r="I85" s="209"/>
      <c r="J85" s="203">
        <v>100589608</v>
      </c>
      <c r="K85" s="33">
        <v>2790</v>
      </c>
      <c r="L85" s="76" t="s">
        <v>24</v>
      </c>
      <c r="M85" s="81">
        <v>1450</v>
      </c>
      <c r="N85" s="80">
        <v>313</v>
      </c>
      <c r="O85" s="93">
        <f>1.107*0.825*0.507</f>
        <v>0.46303042499999997</v>
      </c>
      <c r="Q85" s="94"/>
      <c r="R85" s="94"/>
      <c r="S85" s="94"/>
      <c r="T85" s="94"/>
      <c r="U85" s="94"/>
      <c r="V85" s="94"/>
      <c r="W85" s="94"/>
      <c r="X85" s="94"/>
    </row>
    <row r="86" spans="2:24" s="47" customFormat="1" ht="18" customHeight="1" thickBot="1" x14ac:dyDescent="0.3">
      <c r="B86" s="91" t="s">
        <v>871</v>
      </c>
      <c r="C86" s="76">
        <v>22</v>
      </c>
      <c r="D86" s="77">
        <v>30</v>
      </c>
      <c r="E86" s="77">
        <v>200</v>
      </c>
      <c r="F86" s="77">
        <v>25</v>
      </c>
      <c r="G86" s="92" t="s">
        <v>55</v>
      </c>
      <c r="H86" s="193"/>
      <c r="I86" s="209"/>
      <c r="J86" s="203">
        <v>100603945</v>
      </c>
      <c r="K86" s="33">
        <v>2960</v>
      </c>
      <c r="L86" s="76" t="s">
        <v>24</v>
      </c>
      <c r="M86" s="81">
        <v>1450</v>
      </c>
      <c r="N86" s="80">
        <v>354</v>
      </c>
      <c r="O86" s="93">
        <f>1.124*0.825*0.556</f>
        <v>0.5155788</v>
      </c>
      <c r="Q86" s="94"/>
      <c r="R86" s="94"/>
      <c r="S86" s="94"/>
      <c r="T86" s="94"/>
      <c r="U86" s="94"/>
      <c r="V86" s="94"/>
      <c r="W86" s="94"/>
      <c r="X86" s="94"/>
    </row>
    <row r="87" spans="2:24" s="47" customFormat="1" ht="18" customHeight="1" thickBot="1" x14ac:dyDescent="0.3">
      <c r="B87" s="96" t="s">
        <v>870</v>
      </c>
      <c r="C87" s="76">
        <v>30</v>
      </c>
      <c r="D87" s="77">
        <v>40</v>
      </c>
      <c r="E87" s="77">
        <v>200</v>
      </c>
      <c r="F87" s="77">
        <v>33</v>
      </c>
      <c r="G87" s="92" t="s">
        <v>55</v>
      </c>
      <c r="H87" s="193"/>
      <c r="I87" s="209"/>
      <c r="J87" s="203"/>
      <c r="K87" s="86">
        <v>3617.1625331519995</v>
      </c>
      <c r="L87" s="76" t="s">
        <v>24</v>
      </c>
      <c r="M87" s="81">
        <v>1450</v>
      </c>
      <c r="N87" s="80">
        <v>406</v>
      </c>
      <c r="O87" s="93">
        <f>1.158*0.825*0.556</f>
        <v>0.53117460000000005</v>
      </c>
      <c r="Q87" s="94"/>
      <c r="R87" s="94"/>
      <c r="S87" s="94"/>
      <c r="T87" s="94"/>
      <c r="U87" s="94"/>
      <c r="V87" s="94"/>
      <c r="W87" s="94"/>
      <c r="X87" s="94"/>
    </row>
    <row r="88" spans="2:24" s="47" customFormat="1" ht="18" customHeight="1" thickBot="1" x14ac:dyDescent="0.3">
      <c r="B88" s="96" t="s">
        <v>869</v>
      </c>
      <c r="C88" s="76">
        <v>37</v>
      </c>
      <c r="D88" s="77">
        <v>50</v>
      </c>
      <c r="E88" s="77">
        <v>200</v>
      </c>
      <c r="F88" s="77">
        <v>40</v>
      </c>
      <c r="G88" s="92" t="s">
        <v>55</v>
      </c>
      <c r="H88" s="193"/>
      <c r="I88" s="209"/>
      <c r="J88" s="203"/>
      <c r="K88" s="114" t="s">
        <v>28</v>
      </c>
      <c r="L88" s="76" t="s">
        <v>24</v>
      </c>
      <c r="M88" s="81">
        <v>1450</v>
      </c>
      <c r="N88" s="80">
        <v>511</v>
      </c>
      <c r="O88" s="93">
        <f>1.217*0.925*0.625</f>
        <v>0.70357812500000005</v>
      </c>
      <c r="Q88" s="94"/>
      <c r="R88" s="94"/>
      <c r="S88" s="94"/>
      <c r="T88" s="94"/>
      <c r="U88" s="94"/>
      <c r="V88" s="94"/>
      <c r="W88" s="94"/>
      <c r="X88" s="94"/>
    </row>
    <row r="89" spans="2:24" s="47" customFormat="1" ht="18" customHeight="1" thickBot="1" x14ac:dyDescent="0.3">
      <c r="B89" s="96" t="s">
        <v>868</v>
      </c>
      <c r="C89" s="76">
        <v>45</v>
      </c>
      <c r="D89" s="77">
        <v>60</v>
      </c>
      <c r="E89" s="77">
        <v>200</v>
      </c>
      <c r="F89" s="77">
        <v>50</v>
      </c>
      <c r="G89" s="92" t="s">
        <v>55</v>
      </c>
      <c r="H89" s="193"/>
      <c r="I89" s="209"/>
      <c r="J89" s="203"/>
      <c r="K89" s="114" t="s">
        <v>28</v>
      </c>
      <c r="L89" s="76" t="s">
        <v>24</v>
      </c>
      <c r="M89" s="81">
        <v>1450</v>
      </c>
      <c r="N89" s="80">
        <v>548</v>
      </c>
      <c r="O89" s="93">
        <f>1.24*0.925*0.625</f>
        <v>0.71687500000000004</v>
      </c>
      <c r="Q89" s="94"/>
      <c r="R89" s="94"/>
      <c r="S89" s="94"/>
      <c r="T89" s="94"/>
      <c r="U89" s="94"/>
      <c r="V89" s="94"/>
      <c r="W89" s="94"/>
      <c r="X89" s="94"/>
    </row>
    <row r="90" spans="2:24" s="47" customFormat="1" ht="18" customHeight="1" thickBot="1" x14ac:dyDescent="0.3">
      <c r="B90" s="96" t="s">
        <v>867</v>
      </c>
      <c r="C90" s="76">
        <v>22</v>
      </c>
      <c r="D90" s="77">
        <v>30</v>
      </c>
      <c r="E90" s="77">
        <v>400</v>
      </c>
      <c r="F90" s="77">
        <v>12.5</v>
      </c>
      <c r="G90" s="92" t="s">
        <v>56</v>
      </c>
      <c r="H90" s="193"/>
      <c r="I90" s="209"/>
      <c r="J90" s="203"/>
      <c r="K90" s="86">
        <v>3928.7438995656098</v>
      </c>
      <c r="L90" s="76" t="s">
        <v>24</v>
      </c>
      <c r="M90" s="81">
        <v>1450</v>
      </c>
      <c r="N90" s="80">
        <v>432</v>
      </c>
      <c r="O90" s="93">
        <f>1.325*1.025*0.607</f>
        <v>0.82438187499999982</v>
      </c>
      <c r="Q90" s="94"/>
      <c r="R90" s="94"/>
      <c r="S90" s="94"/>
      <c r="T90" s="94"/>
      <c r="U90" s="94"/>
      <c r="V90" s="94"/>
      <c r="W90" s="94"/>
      <c r="X90" s="94"/>
    </row>
    <row r="91" spans="2:24" s="47" customFormat="1" ht="18" customHeight="1" thickBot="1" x14ac:dyDescent="0.3">
      <c r="B91" s="96" t="s">
        <v>866</v>
      </c>
      <c r="C91" s="76">
        <v>18.5</v>
      </c>
      <c r="D91" s="77">
        <v>25</v>
      </c>
      <c r="E91" s="77">
        <v>300</v>
      </c>
      <c r="F91" s="77">
        <v>15</v>
      </c>
      <c r="G91" s="92" t="s">
        <v>56</v>
      </c>
      <c r="H91" s="193"/>
      <c r="I91" s="209"/>
      <c r="J91" s="203"/>
      <c r="K91" s="86">
        <v>3869.5150381106014</v>
      </c>
      <c r="L91" s="76" t="s">
        <v>24</v>
      </c>
      <c r="M91" s="81">
        <v>1450</v>
      </c>
      <c r="N91" s="80">
        <v>418</v>
      </c>
      <c r="O91" s="93">
        <f>1.287*1.025*0.607</f>
        <v>0.80073922499999983</v>
      </c>
      <c r="Q91" s="94"/>
      <c r="R91" s="94"/>
      <c r="S91" s="94"/>
      <c r="T91" s="94"/>
      <c r="U91" s="94"/>
      <c r="V91" s="94"/>
      <c r="W91" s="94"/>
      <c r="X91" s="94"/>
    </row>
    <row r="92" spans="2:24" s="47" customFormat="1" ht="18" customHeight="1" thickBot="1" x14ac:dyDescent="0.3">
      <c r="B92" s="96" t="s">
        <v>865</v>
      </c>
      <c r="C92" s="76">
        <v>22</v>
      </c>
      <c r="D92" s="77">
        <v>30</v>
      </c>
      <c r="E92" s="77">
        <v>300</v>
      </c>
      <c r="F92" s="77">
        <v>18</v>
      </c>
      <c r="G92" s="92" t="s">
        <v>56</v>
      </c>
      <c r="H92" s="193"/>
      <c r="I92" s="209"/>
      <c r="J92" s="203"/>
      <c r="K92" s="86">
        <v>3928.7438995656098</v>
      </c>
      <c r="L92" s="76" t="s">
        <v>24</v>
      </c>
      <c r="M92" s="81">
        <v>1450</v>
      </c>
      <c r="N92" s="80">
        <v>435</v>
      </c>
      <c r="O92" s="93">
        <f>1.325*1.025*0.607</f>
        <v>0.82438187499999982</v>
      </c>
      <c r="Q92" s="94"/>
      <c r="R92" s="94"/>
      <c r="S92" s="94"/>
      <c r="T92" s="94"/>
      <c r="U92" s="94"/>
      <c r="V92" s="94"/>
      <c r="W92" s="94"/>
      <c r="X92" s="94"/>
    </row>
    <row r="93" spans="2:24" s="47" customFormat="1" ht="18" customHeight="1" thickBot="1" x14ac:dyDescent="0.3">
      <c r="B93" s="96" t="s">
        <v>864</v>
      </c>
      <c r="C93" s="76">
        <v>30</v>
      </c>
      <c r="D93" s="77">
        <v>40</v>
      </c>
      <c r="E93" s="77">
        <v>400</v>
      </c>
      <c r="F93" s="77">
        <v>20</v>
      </c>
      <c r="G93" s="92" t="s">
        <v>56</v>
      </c>
      <c r="H93" s="193"/>
      <c r="I93" s="209"/>
      <c r="J93" s="203"/>
      <c r="K93" s="86">
        <v>4591.7954170119365</v>
      </c>
      <c r="L93" s="76" t="s">
        <v>24</v>
      </c>
      <c r="M93" s="81">
        <v>1450</v>
      </c>
      <c r="N93" s="80">
        <v>492</v>
      </c>
      <c r="O93" s="93">
        <f>1.359*1.025*0.607</f>
        <v>0.84553582499999991</v>
      </c>
      <c r="Q93" s="94"/>
      <c r="R93" s="94"/>
      <c r="S93" s="94"/>
      <c r="T93" s="94"/>
      <c r="U93" s="94"/>
      <c r="V93" s="94"/>
      <c r="W93" s="94"/>
      <c r="X93" s="94"/>
    </row>
    <row r="94" spans="2:24" s="47" customFormat="1" ht="18" customHeight="1" thickBot="1" x14ac:dyDescent="0.3">
      <c r="B94" s="96" t="s">
        <v>863</v>
      </c>
      <c r="C94" s="76">
        <v>37</v>
      </c>
      <c r="D94" s="77">
        <v>50</v>
      </c>
      <c r="E94" s="77">
        <v>400</v>
      </c>
      <c r="F94" s="77">
        <v>23</v>
      </c>
      <c r="G94" s="92" t="s">
        <v>56</v>
      </c>
      <c r="H94" s="193"/>
      <c r="I94" s="209"/>
      <c r="J94" s="203"/>
      <c r="K94" s="114" t="s">
        <v>28</v>
      </c>
      <c r="L94" s="76" t="s">
        <v>24</v>
      </c>
      <c r="M94" s="81">
        <v>1450</v>
      </c>
      <c r="N94" s="80">
        <v>602</v>
      </c>
      <c r="O94" s="93">
        <f>1.414*1.125*0.665</f>
        <v>1.05784875</v>
      </c>
      <c r="Q94" s="94"/>
      <c r="R94" s="94"/>
      <c r="S94" s="94"/>
      <c r="T94" s="94"/>
      <c r="U94" s="94"/>
      <c r="V94" s="94"/>
      <c r="W94" s="94"/>
      <c r="X94" s="94"/>
    </row>
    <row r="95" spans="2:24" s="47" customFormat="1" ht="18" customHeight="1" thickBot="1" x14ac:dyDescent="0.3">
      <c r="B95" s="96" t="s">
        <v>862</v>
      </c>
      <c r="C95" s="76">
        <v>30</v>
      </c>
      <c r="D95" s="77">
        <v>40</v>
      </c>
      <c r="E95" s="77">
        <v>300</v>
      </c>
      <c r="F95" s="77">
        <v>24</v>
      </c>
      <c r="G95" s="92" t="s">
        <v>56</v>
      </c>
      <c r="H95" s="193"/>
      <c r="I95" s="209"/>
      <c r="J95" s="203"/>
      <c r="K95" s="86">
        <v>4883.8872232400554</v>
      </c>
      <c r="L95" s="76" t="s">
        <v>24</v>
      </c>
      <c r="M95" s="81">
        <v>1450</v>
      </c>
      <c r="N95" s="80">
        <v>537</v>
      </c>
      <c r="O95" s="93">
        <f>1.359*1.125*0.665</f>
        <v>1.0167018750000001</v>
      </c>
      <c r="Q95" s="94"/>
      <c r="R95" s="94"/>
      <c r="S95" s="94"/>
      <c r="T95" s="94"/>
      <c r="U95" s="94"/>
      <c r="V95" s="94"/>
      <c r="W95" s="94"/>
      <c r="X95" s="94"/>
    </row>
    <row r="96" spans="2:24" s="47" customFormat="1" ht="18" customHeight="1" thickBot="1" x14ac:dyDescent="0.3">
      <c r="B96" s="96" t="s">
        <v>861</v>
      </c>
      <c r="C96" s="76">
        <v>45</v>
      </c>
      <c r="D96" s="77">
        <v>60</v>
      </c>
      <c r="E96" s="77">
        <v>400</v>
      </c>
      <c r="F96" s="77">
        <v>27</v>
      </c>
      <c r="G96" s="92" t="s">
        <v>56</v>
      </c>
      <c r="H96" s="193"/>
      <c r="I96" s="209"/>
      <c r="J96" s="203"/>
      <c r="K96" s="114" t="s">
        <v>28</v>
      </c>
      <c r="L96" s="76" t="s">
        <v>24</v>
      </c>
      <c r="M96" s="81">
        <v>1450</v>
      </c>
      <c r="N96" s="80">
        <v>638</v>
      </c>
      <c r="O96" s="93">
        <f>1.437*1.125*0.665</f>
        <v>1.0750556250000001</v>
      </c>
      <c r="Q96" s="94"/>
      <c r="R96" s="94"/>
      <c r="S96" s="94"/>
      <c r="T96" s="94"/>
      <c r="U96" s="94"/>
      <c r="V96" s="94"/>
      <c r="W96" s="94"/>
      <c r="X96" s="94"/>
    </row>
    <row r="97" spans="2:24" s="47" customFormat="1" ht="18" customHeight="1" thickBot="1" x14ac:dyDescent="0.3">
      <c r="B97" s="96" t="s">
        <v>860</v>
      </c>
      <c r="C97" s="76">
        <v>37</v>
      </c>
      <c r="D97" s="77">
        <v>50</v>
      </c>
      <c r="E97" s="77">
        <v>300</v>
      </c>
      <c r="F97" s="77">
        <v>31</v>
      </c>
      <c r="G97" s="92" t="s">
        <v>56</v>
      </c>
      <c r="H97" s="193"/>
      <c r="I97" s="209"/>
      <c r="J97" s="203"/>
      <c r="K97" s="86">
        <v>5304.4121395706106</v>
      </c>
      <c r="L97" s="76" t="s">
        <v>24</v>
      </c>
      <c r="M97" s="81">
        <v>1450</v>
      </c>
      <c r="N97" s="80">
        <v>603</v>
      </c>
      <c r="O97" s="93">
        <f>1.414*1.125*0.665</f>
        <v>1.05784875</v>
      </c>
      <c r="Q97" s="94"/>
      <c r="R97" s="94"/>
      <c r="S97" s="94"/>
      <c r="T97" s="94"/>
      <c r="U97" s="94"/>
      <c r="V97" s="94"/>
      <c r="W97" s="94"/>
      <c r="X97" s="94"/>
    </row>
    <row r="98" spans="2:24" s="47" customFormat="1" ht="18" customHeight="1" thickBot="1" x14ac:dyDescent="0.3">
      <c r="B98" s="95" t="s">
        <v>859</v>
      </c>
      <c r="C98" s="76">
        <v>55</v>
      </c>
      <c r="D98" s="77">
        <v>75</v>
      </c>
      <c r="E98" s="77">
        <v>400</v>
      </c>
      <c r="F98" s="97">
        <v>32</v>
      </c>
      <c r="G98" s="92" t="s">
        <v>56</v>
      </c>
      <c r="H98" s="193"/>
      <c r="I98" s="209"/>
      <c r="J98" s="203"/>
      <c r="K98" s="114" t="s">
        <v>28</v>
      </c>
      <c r="L98" s="76" t="s">
        <v>24</v>
      </c>
      <c r="M98" s="81">
        <v>1450</v>
      </c>
      <c r="N98" s="80">
        <v>710</v>
      </c>
      <c r="O98" s="93">
        <f>1.513*1.125*0.665</f>
        <v>1.1319131250000001</v>
      </c>
      <c r="Q98" s="94"/>
      <c r="R98" s="94"/>
      <c r="S98" s="94"/>
      <c r="T98" s="94"/>
      <c r="U98" s="94"/>
      <c r="V98" s="94"/>
      <c r="W98" s="94"/>
      <c r="X98" s="94"/>
    </row>
    <row r="99" spans="2:24" s="47" customFormat="1" ht="18" customHeight="1" thickBot="1" x14ac:dyDescent="0.3">
      <c r="B99" s="96" t="s">
        <v>858</v>
      </c>
      <c r="C99" s="76">
        <v>45</v>
      </c>
      <c r="D99" s="77">
        <v>60</v>
      </c>
      <c r="E99" s="77">
        <v>300</v>
      </c>
      <c r="F99" s="77">
        <v>36</v>
      </c>
      <c r="G99" s="92" t="s">
        <v>56</v>
      </c>
      <c r="H99" s="193"/>
      <c r="I99" s="209"/>
      <c r="J99" s="203"/>
      <c r="K99" s="114" t="s">
        <v>28</v>
      </c>
      <c r="L99" s="76" t="s">
        <v>24</v>
      </c>
      <c r="M99" s="81">
        <v>1450</v>
      </c>
      <c r="N99" s="80">
        <v>649</v>
      </c>
      <c r="O99" s="93">
        <f>1.437*1.125*0.665</f>
        <v>1.0750556250000001</v>
      </c>
      <c r="Q99" s="94"/>
      <c r="R99" s="94"/>
      <c r="S99" s="94"/>
      <c r="T99" s="94"/>
      <c r="U99" s="94"/>
      <c r="V99" s="94"/>
      <c r="W99" s="94"/>
      <c r="X99" s="94"/>
    </row>
    <row r="100" spans="2:24" s="47" customFormat="1" ht="18" customHeight="1" thickBot="1" x14ac:dyDescent="0.3">
      <c r="B100" s="95" t="s">
        <v>857</v>
      </c>
      <c r="C100" s="76">
        <v>75</v>
      </c>
      <c r="D100" s="77">
        <v>100</v>
      </c>
      <c r="E100" s="77">
        <v>400</v>
      </c>
      <c r="F100" s="97">
        <v>43</v>
      </c>
      <c r="G100" s="92" t="s">
        <v>56</v>
      </c>
      <c r="H100" s="193"/>
      <c r="I100" s="209"/>
      <c r="J100" s="203"/>
      <c r="K100" s="114" t="s">
        <v>28</v>
      </c>
      <c r="L100" s="76" t="s">
        <v>24</v>
      </c>
      <c r="M100" s="81">
        <v>1450</v>
      </c>
      <c r="N100" s="80">
        <v>883</v>
      </c>
      <c r="O100" s="93">
        <f>1.581*1.125*0.694</f>
        <v>1.2343657499999998</v>
      </c>
      <c r="Q100" s="94"/>
      <c r="R100" s="94"/>
      <c r="S100" s="94"/>
      <c r="T100" s="94"/>
      <c r="U100" s="94"/>
      <c r="V100" s="94"/>
      <c r="W100" s="94"/>
      <c r="X100" s="94"/>
    </row>
    <row r="101" spans="2:24" s="47" customFormat="1" ht="18" customHeight="1" thickBot="1" x14ac:dyDescent="0.3">
      <c r="B101" s="96" t="s">
        <v>856</v>
      </c>
      <c r="C101" s="76">
        <v>55</v>
      </c>
      <c r="D101" s="77">
        <v>75</v>
      </c>
      <c r="E101" s="77">
        <v>300</v>
      </c>
      <c r="F101" s="77">
        <v>47</v>
      </c>
      <c r="G101" s="92" t="s">
        <v>56</v>
      </c>
      <c r="H101" s="193"/>
      <c r="I101" s="209"/>
      <c r="J101" s="203"/>
      <c r="K101" s="114" t="s">
        <v>28</v>
      </c>
      <c r="L101" s="76" t="s">
        <v>24</v>
      </c>
      <c r="M101" s="81">
        <v>1450</v>
      </c>
      <c r="N101" s="80">
        <v>751</v>
      </c>
      <c r="O101" s="93">
        <f>1.525*1.125*0.694</f>
        <v>1.1906437499999998</v>
      </c>
      <c r="Q101" s="94"/>
      <c r="R101" s="94"/>
      <c r="S101" s="94"/>
      <c r="T101" s="94"/>
      <c r="U101" s="94"/>
      <c r="V101" s="94"/>
      <c r="W101" s="94"/>
      <c r="X101" s="94"/>
    </row>
    <row r="102" spans="2:24" s="47" customFormat="1" ht="18" customHeight="1" thickBot="1" x14ac:dyDescent="0.3">
      <c r="B102" s="95" t="s">
        <v>855</v>
      </c>
      <c r="C102" s="76">
        <v>90</v>
      </c>
      <c r="D102" s="77">
        <v>125</v>
      </c>
      <c r="E102" s="77">
        <v>400</v>
      </c>
      <c r="F102" s="77">
        <v>50</v>
      </c>
      <c r="G102" s="92" t="s">
        <v>56</v>
      </c>
      <c r="H102" s="193"/>
      <c r="I102" s="209"/>
      <c r="J102" s="203"/>
      <c r="K102" s="114" t="s">
        <v>28</v>
      </c>
      <c r="L102" s="76" t="s">
        <v>24</v>
      </c>
      <c r="M102" s="81">
        <v>1450</v>
      </c>
      <c r="N102" s="80">
        <v>975</v>
      </c>
      <c r="O102" s="93">
        <f>1.632*1.125*0.694</f>
        <v>1.2741839999999998</v>
      </c>
      <c r="Q102" s="94"/>
      <c r="R102" s="94"/>
      <c r="S102" s="94"/>
      <c r="T102" s="94"/>
      <c r="U102" s="94"/>
      <c r="V102" s="94"/>
      <c r="W102" s="94"/>
      <c r="X102" s="94"/>
    </row>
    <row r="103" spans="2:24" s="47" customFormat="1" ht="18" customHeight="1" thickBot="1" x14ac:dyDescent="0.3">
      <c r="B103" s="95" t="s">
        <v>854</v>
      </c>
      <c r="C103" s="76">
        <v>75</v>
      </c>
      <c r="D103" s="77">
        <v>100</v>
      </c>
      <c r="E103" s="77">
        <v>300</v>
      </c>
      <c r="F103" s="77">
        <v>53</v>
      </c>
      <c r="G103" s="92" t="s">
        <v>56</v>
      </c>
      <c r="H103" s="193"/>
      <c r="I103" s="209"/>
      <c r="J103" s="203"/>
      <c r="K103" s="114" t="s">
        <v>28</v>
      </c>
      <c r="L103" s="76" t="s">
        <v>24</v>
      </c>
      <c r="M103" s="81">
        <v>1450</v>
      </c>
      <c r="N103" s="80">
        <v>884</v>
      </c>
      <c r="O103" s="93">
        <f>1.581*1.125*0.694</f>
        <v>1.2343657499999998</v>
      </c>
      <c r="Q103" s="94"/>
      <c r="R103" s="94"/>
      <c r="S103" s="94"/>
      <c r="T103" s="94"/>
      <c r="U103" s="94"/>
      <c r="V103" s="94"/>
      <c r="W103" s="94"/>
      <c r="X103" s="94"/>
    </row>
    <row r="104" spans="2:24" s="47" customFormat="1" ht="18" customHeight="1" thickBot="1" x14ac:dyDescent="0.3">
      <c r="B104" s="95" t="s">
        <v>853</v>
      </c>
      <c r="C104" s="76">
        <v>30</v>
      </c>
      <c r="D104" s="77">
        <v>40</v>
      </c>
      <c r="E104" s="77">
        <v>630</v>
      </c>
      <c r="F104" s="77">
        <v>12.5</v>
      </c>
      <c r="G104" s="92" t="s">
        <v>57</v>
      </c>
      <c r="H104" s="193"/>
      <c r="I104" s="209"/>
      <c r="J104" s="203"/>
      <c r="K104" s="86">
        <v>5126.1020935060615</v>
      </c>
      <c r="L104" s="76" t="s">
        <v>24</v>
      </c>
      <c r="M104" s="81">
        <v>1450</v>
      </c>
      <c r="N104" s="80">
        <v>552</v>
      </c>
      <c r="O104" s="93">
        <f>1.439*1.125*0.669</f>
        <v>1.0830273750000001</v>
      </c>
      <c r="Q104" s="94"/>
      <c r="R104" s="94"/>
      <c r="S104" s="94"/>
      <c r="T104" s="94"/>
      <c r="U104" s="94"/>
      <c r="V104" s="94"/>
      <c r="W104" s="94"/>
      <c r="X104" s="94"/>
    </row>
    <row r="105" spans="2:24" s="47" customFormat="1" ht="18" customHeight="1" thickBot="1" x14ac:dyDescent="0.3">
      <c r="B105" s="95" t="s">
        <v>852</v>
      </c>
      <c r="C105" s="76">
        <v>37</v>
      </c>
      <c r="D105" s="77">
        <v>50</v>
      </c>
      <c r="E105" s="77">
        <v>630</v>
      </c>
      <c r="F105" s="77">
        <v>14</v>
      </c>
      <c r="G105" s="92" t="s">
        <v>57</v>
      </c>
      <c r="H105" s="193"/>
      <c r="I105" s="209"/>
      <c r="J105" s="203"/>
      <c r="K105" s="114" t="s">
        <v>28</v>
      </c>
      <c r="L105" s="76" t="s">
        <v>24</v>
      </c>
      <c r="M105" s="81">
        <v>1450</v>
      </c>
      <c r="N105" s="80">
        <v>612</v>
      </c>
      <c r="O105" s="93">
        <f>1.494*1.125*0.669</f>
        <v>1.12442175</v>
      </c>
      <c r="Q105" s="94"/>
      <c r="R105" s="94"/>
      <c r="S105" s="94"/>
      <c r="T105" s="94"/>
      <c r="U105" s="94"/>
      <c r="V105" s="94"/>
      <c r="W105" s="94"/>
      <c r="X105" s="94"/>
    </row>
    <row r="106" spans="2:24" s="47" customFormat="1" ht="18" customHeight="1" thickBot="1" x14ac:dyDescent="0.3">
      <c r="B106" s="96" t="s">
        <v>851</v>
      </c>
      <c r="C106" s="76">
        <v>30</v>
      </c>
      <c r="D106" s="77">
        <v>40</v>
      </c>
      <c r="E106" s="77">
        <v>500</v>
      </c>
      <c r="F106" s="77">
        <v>16</v>
      </c>
      <c r="G106" s="92" t="s">
        <v>57</v>
      </c>
      <c r="H106" s="193"/>
      <c r="I106" s="209"/>
      <c r="J106" s="203"/>
      <c r="K106" s="86">
        <v>5126.1020935060615</v>
      </c>
      <c r="L106" s="76" t="s">
        <v>24</v>
      </c>
      <c r="M106" s="81">
        <v>1450</v>
      </c>
      <c r="N106" s="80">
        <v>553</v>
      </c>
      <c r="O106" s="93">
        <f>1.439*1.125*0.669</f>
        <v>1.0830273750000001</v>
      </c>
      <c r="Q106" s="94"/>
      <c r="R106" s="94"/>
      <c r="S106" s="94"/>
      <c r="T106" s="94"/>
      <c r="U106" s="94"/>
      <c r="V106" s="94"/>
      <c r="W106" s="94"/>
      <c r="X106" s="94"/>
    </row>
    <row r="107" spans="2:24" s="47" customFormat="1" ht="18" customHeight="1" thickBot="1" x14ac:dyDescent="0.3">
      <c r="B107" s="95" t="s">
        <v>850</v>
      </c>
      <c r="C107" s="76">
        <v>45</v>
      </c>
      <c r="D107" s="77">
        <v>60</v>
      </c>
      <c r="E107" s="77">
        <v>630</v>
      </c>
      <c r="F107" s="97">
        <v>17</v>
      </c>
      <c r="G107" s="92" t="s">
        <v>57</v>
      </c>
      <c r="H107" s="193"/>
      <c r="I107" s="209"/>
      <c r="J107" s="203"/>
      <c r="K107" s="114" t="s">
        <v>28</v>
      </c>
      <c r="L107" s="76" t="s">
        <v>24</v>
      </c>
      <c r="M107" s="81">
        <v>1450</v>
      </c>
      <c r="N107" s="80">
        <v>649</v>
      </c>
      <c r="O107" s="93">
        <f>1.517*1.125*0.669</f>
        <v>1.1417321249999999</v>
      </c>
      <c r="Q107" s="94"/>
      <c r="R107" s="94"/>
      <c r="S107" s="94"/>
      <c r="T107" s="94"/>
      <c r="U107" s="94"/>
      <c r="V107" s="94"/>
      <c r="W107" s="94"/>
      <c r="X107" s="94"/>
    </row>
    <row r="108" spans="2:24" s="47" customFormat="1" ht="18" customHeight="1" thickBot="1" x14ac:dyDescent="0.3">
      <c r="B108" s="96" t="s">
        <v>849</v>
      </c>
      <c r="C108" s="76">
        <v>37</v>
      </c>
      <c r="D108" s="77">
        <v>50</v>
      </c>
      <c r="E108" s="77">
        <v>500</v>
      </c>
      <c r="F108" s="77">
        <v>19</v>
      </c>
      <c r="G108" s="92" t="s">
        <v>57</v>
      </c>
      <c r="H108" s="193"/>
      <c r="I108" s="209"/>
      <c r="J108" s="203"/>
      <c r="K108" s="114" t="s">
        <v>28</v>
      </c>
      <c r="L108" s="76" t="s">
        <v>24</v>
      </c>
      <c r="M108" s="81">
        <v>1450</v>
      </c>
      <c r="N108" s="80">
        <v>614</v>
      </c>
      <c r="O108" s="93">
        <f>1.494*1.125*0.669</f>
        <v>1.12442175</v>
      </c>
      <c r="Q108" s="94"/>
      <c r="R108" s="94"/>
      <c r="S108" s="94"/>
      <c r="T108" s="94"/>
      <c r="U108" s="94"/>
      <c r="V108" s="94"/>
      <c r="W108" s="94"/>
      <c r="X108" s="94"/>
    </row>
    <row r="109" spans="2:24" s="47" customFormat="1" ht="18" customHeight="1" thickBot="1" x14ac:dyDescent="0.3">
      <c r="B109" s="95" t="s">
        <v>848</v>
      </c>
      <c r="C109" s="76">
        <v>55</v>
      </c>
      <c r="D109" s="77">
        <v>75</v>
      </c>
      <c r="E109" s="77">
        <v>630</v>
      </c>
      <c r="F109" s="77">
        <v>20</v>
      </c>
      <c r="G109" s="92" t="s">
        <v>57</v>
      </c>
      <c r="H109" s="193"/>
      <c r="I109" s="209"/>
      <c r="J109" s="203"/>
      <c r="K109" s="114" t="s">
        <v>28</v>
      </c>
      <c r="L109" s="76" t="s">
        <v>24</v>
      </c>
      <c r="M109" s="81">
        <v>1450</v>
      </c>
      <c r="N109" s="80">
        <v>722</v>
      </c>
      <c r="O109" s="93">
        <f>1.593*1.125*0.669</f>
        <v>1.1989316249999999</v>
      </c>
      <c r="Q109" s="94"/>
      <c r="R109" s="94"/>
      <c r="S109" s="94"/>
      <c r="T109" s="94"/>
      <c r="U109" s="94"/>
      <c r="V109" s="94"/>
      <c r="W109" s="94"/>
      <c r="X109" s="94"/>
    </row>
    <row r="110" spans="2:24" s="47" customFormat="1" ht="18" customHeight="1" thickBot="1" x14ac:dyDescent="0.3">
      <c r="B110" s="96" t="s">
        <v>847</v>
      </c>
      <c r="C110" s="76">
        <v>45</v>
      </c>
      <c r="D110" s="77">
        <v>60</v>
      </c>
      <c r="E110" s="77">
        <v>500</v>
      </c>
      <c r="F110" s="77">
        <v>21</v>
      </c>
      <c r="G110" s="92" t="s">
        <v>57</v>
      </c>
      <c r="H110" s="193"/>
      <c r="I110" s="209"/>
      <c r="J110" s="203"/>
      <c r="K110" s="114" t="s">
        <v>28</v>
      </c>
      <c r="L110" s="76" t="s">
        <v>24</v>
      </c>
      <c r="M110" s="81">
        <v>1450</v>
      </c>
      <c r="N110" s="80">
        <v>650</v>
      </c>
      <c r="O110" s="93">
        <f>1.517*1.125*0.669</f>
        <v>1.1417321249999999</v>
      </c>
      <c r="Q110" s="94"/>
      <c r="R110" s="94"/>
      <c r="S110" s="94"/>
      <c r="T110" s="94"/>
      <c r="U110" s="94"/>
      <c r="V110" s="94"/>
      <c r="W110" s="94"/>
      <c r="X110" s="94"/>
    </row>
    <row r="111" spans="2:24" s="47" customFormat="1" ht="18" customHeight="1" thickBot="1" x14ac:dyDescent="0.3">
      <c r="B111" s="95" t="s">
        <v>846</v>
      </c>
      <c r="C111" s="76">
        <v>75</v>
      </c>
      <c r="D111" s="77">
        <v>100</v>
      </c>
      <c r="E111" s="77">
        <v>630</v>
      </c>
      <c r="F111" s="77">
        <v>26</v>
      </c>
      <c r="G111" s="92" t="s">
        <v>57</v>
      </c>
      <c r="H111" s="193"/>
      <c r="I111" s="209"/>
      <c r="J111" s="203"/>
      <c r="K111" s="114" t="s">
        <v>28</v>
      </c>
      <c r="L111" s="76" t="s">
        <v>24</v>
      </c>
      <c r="M111" s="81">
        <v>1450</v>
      </c>
      <c r="N111" s="80">
        <v>909</v>
      </c>
      <c r="O111" s="93">
        <f>1.661*1.125*0.703</f>
        <v>1.3136433749999998</v>
      </c>
      <c r="Q111" s="94"/>
      <c r="R111" s="94"/>
      <c r="S111" s="94"/>
      <c r="T111" s="94"/>
      <c r="U111" s="94"/>
      <c r="V111" s="94"/>
      <c r="W111" s="94"/>
      <c r="X111" s="94"/>
    </row>
    <row r="112" spans="2:24" s="47" customFormat="1" ht="18" customHeight="1" thickBot="1" x14ac:dyDescent="0.3">
      <c r="B112" s="96" t="s">
        <v>845</v>
      </c>
      <c r="C112" s="76">
        <v>55</v>
      </c>
      <c r="D112" s="77">
        <v>75</v>
      </c>
      <c r="E112" s="77">
        <v>500</v>
      </c>
      <c r="F112" s="77">
        <v>27</v>
      </c>
      <c r="G112" s="92" t="s">
        <v>57</v>
      </c>
      <c r="H112" s="193"/>
      <c r="I112" s="209"/>
      <c r="J112" s="203"/>
      <c r="K112" s="114" t="s">
        <v>28</v>
      </c>
      <c r="L112" s="76" t="s">
        <v>24</v>
      </c>
      <c r="M112" s="81">
        <v>1450</v>
      </c>
      <c r="N112" s="80">
        <v>780</v>
      </c>
      <c r="O112" s="93">
        <f>1.605*1.125*0.703</f>
        <v>1.269354375</v>
      </c>
      <c r="Q112" s="94"/>
      <c r="R112" s="94"/>
      <c r="S112" s="94"/>
      <c r="T112" s="94"/>
      <c r="U112" s="94"/>
      <c r="V112" s="94"/>
      <c r="W112" s="94"/>
      <c r="X112" s="94"/>
    </row>
    <row r="113" spans="2:24" s="47" customFormat="1" ht="18" customHeight="1" thickBot="1" x14ac:dyDescent="0.3">
      <c r="B113" s="95" t="s">
        <v>844</v>
      </c>
      <c r="C113" s="76">
        <v>90</v>
      </c>
      <c r="D113" s="77">
        <v>125</v>
      </c>
      <c r="E113" s="77">
        <v>630</v>
      </c>
      <c r="F113" s="77">
        <v>32</v>
      </c>
      <c r="G113" s="92" t="s">
        <v>57</v>
      </c>
      <c r="H113" s="193"/>
      <c r="I113" s="209"/>
      <c r="J113" s="203"/>
      <c r="K113" s="114" t="s">
        <v>28</v>
      </c>
      <c r="L113" s="76" t="s">
        <v>24</v>
      </c>
      <c r="M113" s="81">
        <v>1450</v>
      </c>
      <c r="N113" s="80">
        <v>999</v>
      </c>
      <c r="O113" s="93">
        <f>1.712*1.125*0.703</f>
        <v>1.3539779999999999</v>
      </c>
      <c r="Q113" s="94"/>
      <c r="R113" s="94"/>
      <c r="S113" s="94"/>
      <c r="T113" s="94"/>
      <c r="U113" s="94"/>
      <c r="V113" s="94"/>
      <c r="W113" s="94"/>
      <c r="X113" s="94"/>
    </row>
    <row r="114" spans="2:24" s="47" customFormat="1" ht="18" customHeight="1" thickBot="1" x14ac:dyDescent="0.3">
      <c r="B114" s="95" t="s">
        <v>843</v>
      </c>
      <c r="C114" s="76">
        <v>75</v>
      </c>
      <c r="D114" s="77">
        <v>100</v>
      </c>
      <c r="E114" s="77">
        <v>500</v>
      </c>
      <c r="F114" s="77">
        <v>36</v>
      </c>
      <c r="G114" s="92" t="s">
        <v>57</v>
      </c>
      <c r="H114" s="193"/>
      <c r="I114" s="209"/>
      <c r="J114" s="203"/>
      <c r="K114" s="114" t="s">
        <v>28</v>
      </c>
      <c r="L114" s="76" t="s">
        <v>24</v>
      </c>
      <c r="M114" s="81">
        <v>1450</v>
      </c>
      <c r="N114" s="80">
        <v>909</v>
      </c>
      <c r="O114" s="93">
        <f>1.661*1.125*0.703</f>
        <v>1.3136433749999998</v>
      </c>
      <c r="Q114" s="94"/>
      <c r="R114" s="94"/>
      <c r="S114" s="94"/>
      <c r="T114" s="94"/>
      <c r="U114" s="94"/>
      <c r="V114" s="94"/>
      <c r="W114" s="94"/>
      <c r="X114" s="94"/>
    </row>
    <row r="115" spans="2:24" s="47" customFormat="1" ht="18" customHeight="1" thickBot="1" x14ac:dyDescent="0.3">
      <c r="B115" s="95" t="s">
        <v>842</v>
      </c>
      <c r="C115" s="76">
        <v>110</v>
      </c>
      <c r="D115" s="77">
        <v>150</v>
      </c>
      <c r="E115" s="77">
        <v>630</v>
      </c>
      <c r="F115" s="77">
        <v>40</v>
      </c>
      <c r="G115" s="92" t="s">
        <v>57</v>
      </c>
      <c r="H115" s="193"/>
      <c r="I115" s="209"/>
      <c r="J115" s="203"/>
      <c r="K115" s="114" t="s">
        <v>28</v>
      </c>
      <c r="L115" s="76" t="s">
        <v>24</v>
      </c>
      <c r="M115" s="81">
        <v>1450</v>
      </c>
      <c r="N115" s="80">
        <v>1389</v>
      </c>
      <c r="O115" s="93">
        <f>1.865*1.225*0.77</f>
        <v>1.7591612500000002</v>
      </c>
      <c r="Q115" s="94"/>
      <c r="R115" s="94"/>
      <c r="S115" s="94"/>
      <c r="T115" s="94"/>
      <c r="U115" s="94"/>
      <c r="V115" s="94"/>
      <c r="W115" s="94"/>
      <c r="X115" s="94"/>
    </row>
    <row r="116" spans="2:24" s="47" customFormat="1" ht="18" customHeight="1" thickBot="1" x14ac:dyDescent="0.3">
      <c r="B116" s="96" t="s">
        <v>841</v>
      </c>
      <c r="C116" s="76">
        <v>90</v>
      </c>
      <c r="D116" s="77">
        <v>125</v>
      </c>
      <c r="E116" s="77">
        <v>500</v>
      </c>
      <c r="F116" s="77">
        <v>47</v>
      </c>
      <c r="G116" s="92" t="s">
        <v>57</v>
      </c>
      <c r="H116" s="193"/>
      <c r="I116" s="209"/>
      <c r="J116" s="203"/>
      <c r="K116" s="114" t="s">
        <v>28</v>
      </c>
      <c r="L116" s="76" t="s">
        <v>24</v>
      </c>
      <c r="M116" s="81">
        <v>1450</v>
      </c>
      <c r="N116" s="80">
        <v>1032</v>
      </c>
      <c r="O116" s="93">
        <f>1.695*1.225*0.749</f>
        <v>1.555204875</v>
      </c>
      <c r="Q116" s="94"/>
      <c r="R116" s="94"/>
      <c r="S116" s="94"/>
      <c r="T116" s="94"/>
      <c r="U116" s="94"/>
      <c r="V116" s="94"/>
      <c r="W116" s="94"/>
      <c r="X116" s="94"/>
    </row>
    <row r="117" spans="2:24" s="47" customFormat="1" ht="18" customHeight="1" thickBot="1" x14ac:dyDescent="0.3">
      <c r="B117" s="95" t="s">
        <v>840</v>
      </c>
      <c r="C117" s="76">
        <v>132</v>
      </c>
      <c r="D117" s="77">
        <v>180</v>
      </c>
      <c r="E117" s="77">
        <v>630</v>
      </c>
      <c r="F117" s="77">
        <v>50</v>
      </c>
      <c r="G117" s="92" t="s">
        <v>57</v>
      </c>
      <c r="H117" s="193"/>
      <c r="I117" s="209"/>
      <c r="J117" s="203"/>
      <c r="K117" s="114" t="s">
        <v>28</v>
      </c>
      <c r="L117" s="76" t="s">
        <v>24</v>
      </c>
      <c r="M117" s="81">
        <v>1450</v>
      </c>
      <c r="N117" s="80">
        <v>1473</v>
      </c>
      <c r="O117" s="93">
        <f>2.015*1.225*0.77</f>
        <v>1.9006487500000004</v>
      </c>
      <c r="Q117" s="94"/>
      <c r="R117" s="94"/>
      <c r="S117" s="94"/>
      <c r="T117" s="94"/>
      <c r="U117" s="94"/>
      <c r="V117" s="94"/>
      <c r="W117" s="94"/>
      <c r="X117" s="94"/>
    </row>
    <row r="118" spans="2:24" s="47" customFormat="1" ht="18" customHeight="1" thickBot="1" x14ac:dyDescent="0.3">
      <c r="B118" s="96" t="s">
        <v>839</v>
      </c>
      <c r="C118" s="76">
        <v>110</v>
      </c>
      <c r="D118" s="77">
        <v>150</v>
      </c>
      <c r="E118" s="77">
        <v>500</v>
      </c>
      <c r="F118" s="77">
        <v>53</v>
      </c>
      <c r="G118" s="92" t="s">
        <v>57</v>
      </c>
      <c r="H118" s="193"/>
      <c r="I118" s="209"/>
      <c r="J118" s="203"/>
      <c r="K118" s="114" t="s">
        <v>28</v>
      </c>
      <c r="L118" s="76" t="s">
        <v>24</v>
      </c>
      <c r="M118" s="81">
        <v>1450</v>
      </c>
      <c r="N118" s="80">
        <v>1391</v>
      </c>
      <c r="O118" s="93">
        <f>1.865*1.225*0.77</f>
        <v>1.7591612500000002</v>
      </c>
      <c r="Q118" s="94"/>
      <c r="R118" s="94"/>
      <c r="S118" s="94"/>
      <c r="T118" s="94"/>
      <c r="U118" s="94"/>
      <c r="V118" s="94"/>
      <c r="W118" s="94"/>
      <c r="X118" s="94"/>
    </row>
    <row r="119" spans="2:24" s="47" customFormat="1" ht="18" customHeight="1" thickBot="1" x14ac:dyDescent="0.3">
      <c r="B119" s="96" t="s">
        <v>838</v>
      </c>
      <c r="C119" s="76">
        <v>55</v>
      </c>
      <c r="D119" s="77">
        <v>75</v>
      </c>
      <c r="E119" s="77">
        <v>900</v>
      </c>
      <c r="F119" s="77">
        <v>15</v>
      </c>
      <c r="G119" s="92" t="s">
        <v>58</v>
      </c>
      <c r="H119" s="193"/>
      <c r="I119" s="209"/>
      <c r="J119" s="203"/>
      <c r="K119" s="114" t="s">
        <v>28</v>
      </c>
      <c r="L119" s="76" t="s">
        <v>24</v>
      </c>
      <c r="M119" s="81">
        <v>1450</v>
      </c>
      <c r="N119" s="80"/>
      <c r="O119" s="93"/>
    </row>
    <row r="120" spans="2:24" s="47" customFormat="1" ht="18" customHeight="1" thickBot="1" x14ac:dyDescent="0.3">
      <c r="B120" s="96" t="s">
        <v>837</v>
      </c>
      <c r="C120" s="76">
        <v>75</v>
      </c>
      <c r="D120" s="77">
        <v>100</v>
      </c>
      <c r="E120" s="77">
        <v>900</v>
      </c>
      <c r="F120" s="77">
        <v>20</v>
      </c>
      <c r="G120" s="92" t="s">
        <v>58</v>
      </c>
      <c r="H120" s="193"/>
      <c r="I120" s="209"/>
      <c r="J120" s="203"/>
      <c r="K120" s="114" t="s">
        <v>28</v>
      </c>
      <c r="L120" s="76" t="s">
        <v>24</v>
      </c>
      <c r="M120" s="81">
        <v>1450</v>
      </c>
      <c r="N120" s="80"/>
      <c r="O120" s="93"/>
    </row>
    <row r="121" spans="2:24" s="47" customFormat="1" ht="18" customHeight="1" thickBot="1" x14ac:dyDescent="0.3">
      <c r="B121" s="96" t="s">
        <v>836</v>
      </c>
      <c r="C121" s="76">
        <v>90</v>
      </c>
      <c r="D121" s="77">
        <v>125</v>
      </c>
      <c r="E121" s="77">
        <v>900</v>
      </c>
      <c r="F121" s="77">
        <v>25</v>
      </c>
      <c r="G121" s="92" t="s">
        <v>58</v>
      </c>
      <c r="H121" s="193"/>
      <c r="I121" s="209"/>
      <c r="J121" s="203"/>
      <c r="K121" s="114" t="s">
        <v>28</v>
      </c>
      <c r="L121" s="76" t="s">
        <v>24</v>
      </c>
      <c r="M121" s="81">
        <v>1450</v>
      </c>
      <c r="N121" s="80"/>
      <c r="O121" s="93"/>
    </row>
    <row r="122" spans="2:24" s="47" customFormat="1" ht="18" customHeight="1" thickBot="1" x14ac:dyDescent="0.3">
      <c r="B122" s="96" t="s">
        <v>835</v>
      </c>
      <c r="C122" s="76">
        <v>110</v>
      </c>
      <c r="D122" s="77">
        <v>150</v>
      </c>
      <c r="E122" s="77">
        <v>900</v>
      </c>
      <c r="F122" s="77">
        <v>30</v>
      </c>
      <c r="G122" s="92" t="s">
        <v>58</v>
      </c>
      <c r="H122" s="193"/>
      <c r="I122" s="209"/>
      <c r="J122" s="203"/>
      <c r="K122" s="114" t="s">
        <v>28</v>
      </c>
      <c r="L122" s="76" t="s">
        <v>24</v>
      </c>
      <c r="M122" s="81">
        <v>1450</v>
      </c>
      <c r="N122" s="80"/>
      <c r="O122" s="93"/>
    </row>
    <row r="123" spans="2:24" s="47" customFormat="1" ht="18" customHeight="1" thickBot="1" x14ac:dyDescent="0.3">
      <c r="B123" s="96" t="s">
        <v>834</v>
      </c>
      <c r="C123" s="76">
        <v>132</v>
      </c>
      <c r="D123" s="77">
        <v>180</v>
      </c>
      <c r="E123" s="77">
        <v>900</v>
      </c>
      <c r="F123" s="77">
        <v>35</v>
      </c>
      <c r="G123" s="92" t="s">
        <v>58</v>
      </c>
      <c r="H123" s="193"/>
      <c r="I123" s="209"/>
      <c r="J123" s="203"/>
      <c r="K123" s="114" t="s">
        <v>28</v>
      </c>
      <c r="L123" s="76" t="s">
        <v>24</v>
      </c>
      <c r="M123" s="81">
        <v>1450</v>
      </c>
      <c r="N123" s="80"/>
      <c r="O123" s="93"/>
    </row>
    <row r="124" spans="2:24" s="47" customFormat="1" ht="18" customHeight="1" thickBot="1" x14ac:dyDescent="0.3">
      <c r="B124" s="96" t="s">
        <v>833</v>
      </c>
      <c r="C124" s="76">
        <v>160</v>
      </c>
      <c r="D124" s="77">
        <v>215</v>
      </c>
      <c r="E124" s="77">
        <v>900</v>
      </c>
      <c r="F124" s="77">
        <v>44</v>
      </c>
      <c r="G124" s="92" t="s">
        <v>58</v>
      </c>
      <c r="H124" s="193"/>
      <c r="I124" s="209"/>
      <c r="J124" s="203"/>
      <c r="K124" s="114" t="s">
        <v>28</v>
      </c>
      <c r="L124" s="76" t="s">
        <v>24</v>
      </c>
      <c r="M124" s="81">
        <v>1450</v>
      </c>
      <c r="N124" s="80"/>
      <c r="O124" s="93"/>
    </row>
    <row r="125" spans="2:24" s="47" customFormat="1" ht="18" customHeight="1" thickBot="1" x14ac:dyDescent="0.3">
      <c r="B125" s="96" t="s">
        <v>832</v>
      </c>
      <c r="C125" s="76">
        <v>200</v>
      </c>
      <c r="D125" s="77">
        <v>268</v>
      </c>
      <c r="E125" s="77">
        <v>900</v>
      </c>
      <c r="F125" s="77">
        <v>55</v>
      </c>
      <c r="G125" s="92" t="s">
        <v>58</v>
      </c>
      <c r="H125" s="193"/>
      <c r="I125" s="209"/>
      <c r="J125" s="203"/>
      <c r="K125" s="114" t="s">
        <v>28</v>
      </c>
      <c r="L125" s="76" t="s">
        <v>24</v>
      </c>
      <c r="M125" s="81">
        <v>1450</v>
      </c>
      <c r="N125" s="80"/>
      <c r="O125" s="93"/>
    </row>
    <row r="126" spans="2:24" s="271" customFormat="1" ht="8.25" customHeight="1" thickBot="1" x14ac:dyDescent="0.3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</row>
    <row r="127" spans="2:24" ht="15" customHeight="1" x14ac:dyDescent="0.25">
      <c r="B127" s="180" t="s">
        <v>32</v>
      </c>
      <c r="C127" s="45" t="s">
        <v>1310</v>
      </c>
      <c r="D127" s="45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</row>
    <row r="128" spans="2:24" ht="15" customHeight="1" x14ac:dyDescent="0.25">
      <c r="B128" s="181" t="s">
        <v>308</v>
      </c>
      <c r="C128" s="50" t="s">
        <v>701</v>
      </c>
      <c r="D128" s="50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2:15" s="167" customFormat="1" ht="15" customHeight="1" x14ac:dyDescent="0.25">
      <c r="B129" s="181" t="s">
        <v>702</v>
      </c>
      <c r="C129" s="50" t="s">
        <v>703</v>
      </c>
      <c r="D129" s="53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2:15" ht="15" customHeight="1" x14ac:dyDescent="0.25">
      <c r="B130" s="181" t="s">
        <v>36</v>
      </c>
      <c r="C130" s="53" t="s">
        <v>1406</v>
      </c>
      <c r="D130" s="53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2:15" s="167" customFormat="1" ht="15" customHeight="1" x14ac:dyDescent="0.25">
      <c r="B131" s="181" t="s">
        <v>704</v>
      </c>
      <c r="C131" s="208" t="s">
        <v>943</v>
      </c>
      <c r="D131" s="53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2:15" ht="15" customHeight="1" x14ac:dyDescent="0.25">
      <c r="B132" s="205" t="s">
        <v>59</v>
      </c>
      <c r="C132" s="206" t="s">
        <v>60</v>
      </c>
      <c r="D132" s="206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</row>
    <row r="138" spans="2:15" x14ac:dyDescent="0.25">
      <c r="D138" s="63"/>
    </row>
  </sheetData>
  <mergeCells count="8">
    <mergeCell ref="B8:B10"/>
    <mergeCell ref="C8:D9"/>
    <mergeCell ref="E8:F8"/>
    <mergeCell ref="L8:L10"/>
    <mergeCell ref="M8:M9"/>
    <mergeCell ref="J9:K9"/>
    <mergeCell ref="H8:K8"/>
    <mergeCell ref="H9:I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6"/>
  <sheetViews>
    <sheetView zoomScaleNormal="100" workbookViewId="0">
      <selection activeCell="B6" sqref="B6:O6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67" customWidth="1"/>
    <col min="9" max="9" width="10.85546875" style="1" customWidth="1"/>
    <col min="10" max="10" width="14.28515625" style="167" customWidth="1"/>
    <col min="11" max="15" width="10.85546875" style="1" customWidth="1"/>
    <col min="16" max="16" width="19" style="1" bestFit="1" customWidth="1"/>
    <col min="17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69" width="10.85546875" style="1" customWidth="1"/>
    <col min="270" max="271" width="8.5703125" style="1" customWidth="1"/>
    <col min="272" max="272" width="19" style="1" bestFit="1" customWidth="1"/>
    <col min="273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5" width="10.85546875" style="1" customWidth="1"/>
    <col min="526" max="527" width="8.5703125" style="1" customWidth="1"/>
    <col min="528" max="528" width="19" style="1" bestFit="1" customWidth="1"/>
    <col min="529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1" width="10.85546875" style="1" customWidth="1"/>
    <col min="782" max="783" width="8.5703125" style="1" customWidth="1"/>
    <col min="784" max="784" width="19" style="1" bestFit="1" customWidth="1"/>
    <col min="785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7" width="10.85546875" style="1" customWidth="1"/>
    <col min="1038" max="1039" width="8.5703125" style="1" customWidth="1"/>
    <col min="1040" max="1040" width="19" style="1" bestFit="1" customWidth="1"/>
    <col min="1041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3" width="10.85546875" style="1" customWidth="1"/>
    <col min="1294" max="1295" width="8.5703125" style="1" customWidth="1"/>
    <col min="1296" max="1296" width="19" style="1" bestFit="1" customWidth="1"/>
    <col min="1297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49" width="10.85546875" style="1" customWidth="1"/>
    <col min="1550" max="1551" width="8.5703125" style="1" customWidth="1"/>
    <col min="1552" max="1552" width="19" style="1" bestFit="1" customWidth="1"/>
    <col min="1553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5" width="10.85546875" style="1" customWidth="1"/>
    <col min="1806" max="1807" width="8.5703125" style="1" customWidth="1"/>
    <col min="1808" max="1808" width="19" style="1" bestFit="1" customWidth="1"/>
    <col min="1809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1" width="10.85546875" style="1" customWidth="1"/>
    <col min="2062" max="2063" width="8.5703125" style="1" customWidth="1"/>
    <col min="2064" max="2064" width="19" style="1" bestFit="1" customWidth="1"/>
    <col min="2065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7" width="10.85546875" style="1" customWidth="1"/>
    <col min="2318" max="2319" width="8.5703125" style="1" customWidth="1"/>
    <col min="2320" max="2320" width="19" style="1" bestFit="1" customWidth="1"/>
    <col min="2321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3" width="10.85546875" style="1" customWidth="1"/>
    <col min="2574" max="2575" width="8.5703125" style="1" customWidth="1"/>
    <col min="2576" max="2576" width="19" style="1" bestFit="1" customWidth="1"/>
    <col min="2577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29" width="10.85546875" style="1" customWidth="1"/>
    <col min="2830" max="2831" width="8.5703125" style="1" customWidth="1"/>
    <col min="2832" max="2832" width="19" style="1" bestFit="1" customWidth="1"/>
    <col min="2833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5" width="10.85546875" style="1" customWidth="1"/>
    <col min="3086" max="3087" width="8.5703125" style="1" customWidth="1"/>
    <col min="3088" max="3088" width="19" style="1" bestFit="1" customWidth="1"/>
    <col min="3089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1" width="10.85546875" style="1" customWidth="1"/>
    <col min="3342" max="3343" width="8.5703125" style="1" customWidth="1"/>
    <col min="3344" max="3344" width="19" style="1" bestFit="1" customWidth="1"/>
    <col min="3345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7" width="10.85546875" style="1" customWidth="1"/>
    <col min="3598" max="3599" width="8.5703125" style="1" customWidth="1"/>
    <col min="3600" max="3600" width="19" style="1" bestFit="1" customWidth="1"/>
    <col min="3601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3" width="10.85546875" style="1" customWidth="1"/>
    <col min="3854" max="3855" width="8.5703125" style="1" customWidth="1"/>
    <col min="3856" max="3856" width="19" style="1" bestFit="1" customWidth="1"/>
    <col min="3857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09" width="10.85546875" style="1" customWidth="1"/>
    <col min="4110" max="4111" width="8.5703125" style="1" customWidth="1"/>
    <col min="4112" max="4112" width="19" style="1" bestFit="1" customWidth="1"/>
    <col min="4113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5" width="10.85546875" style="1" customWidth="1"/>
    <col min="4366" max="4367" width="8.5703125" style="1" customWidth="1"/>
    <col min="4368" max="4368" width="19" style="1" bestFit="1" customWidth="1"/>
    <col min="4369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1" width="10.85546875" style="1" customWidth="1"/>
    <col min="4622" max="4623" width="8.5703125" style="1" customWidth="1"/>
    <col min="4624" max="4624" width="19" style="1" bestFit="1" customWidth="1"/>
    <col min="4625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7" width="10.85546875" style="1" customWidth="1"/>
    <col min="4878" max="4879" width="8.5703125" style="1" customWidth="1"/>
    <col min="4880" max="4880" width="19" style="1" bestFit="1" customWidth="1"/>
    <col min="4881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3" width="10.85546875" style="1" customWidth="1"/>
    <col min="5134" max="5135" width="8.5703125" style="1" customWidth="1"/>
    <col min="5136" max="5136" width="19" style="1" bestFit="1" customWidth="1"/>
    <col min="5137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89" width="10.85546875" style="1" customWidth="1"/>
    <col min="5390" max="5391" width="8.5703125" style="1" customWidth="1"/>
    <col min="5392" max="5392" width="19" style="1" bestFit="1" customWidth="1"/>
    <col min="5393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5" width="10.85546875" style="1" customWidth="1"/>
    <col min="5646" max="5647" width="8.5703125" style="1" customWidth="1"/>
    <col min="5648" max="5648" width="19" style="1" bestFit="1" customWidth="1"/>
    <col min="5649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1" width="10.85546875" style="1" customWidth="1"/>
    <col min="5902" max="5903" width="8.5703125" style="1" customWidth="1"/>
    <col min="5904" max="5904" width="19" style="1" bestFit="1" customWidth="1"/>
    <col min="5905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7" width="10.85546875" style="1" customWidth="1"/>
    <col min="6158" max="6159" width="8.5703125" style="1" customWidth="1"/>
    <col min="6160" max="6160" width="19" style="1" bestFit="1" customWidth="1"/>
    <col min="6161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3" width="10.85546875" style="1" customWidth="1"/>
    <col min="6414" max="6415" width="8.5703125" style="1" customWidth="1"/>
    <col min="6416" max="6416" width="19" style="1" bestFit="1" customWidth="1"/>
    <col min="6417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69" width="10.85546875" style="1" customWidth="1"/>
    <col min="6670" max="6671" width="8.5703125" style="1" customWidth="1"/>
    <col min="6672" max="6672" width="19" style="1" bestFit="1" customWidth="1"/>
    <col min="6673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5" width="10.85546875" style="1" customWidth="1"/>
    <col min="6926" max="6927" width="8.5703125" style="1" customWidth="1"/>
    <col min="6928" max="6928" width="19" style="1" bestFit="1" customWidth="1"/>
    <col min="6929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1" width="10.85546875" style="1" customWidth="1"/>
    <col min="7182" max="7183" width="8.5703125" style="1" customWidth="1"/>
    <col min="7184" max="7184" width="19" style="1" bestFit="1" customWidth="1"/>
    <col min="7185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7" width="10.85546875" style="1" customWidth="1"/>
    <col min="7438" max="7439" width="8.5703125" style="1" customWidth="1"/>
    <col min="7440" max="7440" width="19" style="1" bestFit="1" customWidth="1"/>
    <col min="7441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3" width="10.85546875" style="1" customWidth="1"/>
    <col min="7694" max="7695" width="8.5703125" style="1" customWidth="1"/>
    <col min="7696" max="7696" width="19" style="1" bestFit="1" customWidth="1"/>
    <col min="7697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49" width="10.85546875" style="1" customWidth="1"/>
    <col min="7950" max="7951" width="8.5703125" style="1" customWidth="1"/>
    <col min="7952" max="7952" width="19" style="1" bestFit="1" customWidth="1"/>
    <col min="7953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5" width="10.85546875" style="1" customWidth="1"/>
    <col min="8206" max="8207" width="8.5703125" style="1" customWidth="1"/>
    <col min="8208" max="8208" width="19" style="1" bestFit="1" customWidth="1"/>
    <col min="8209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1" width="10.85546875" style="1" customWidth="1"/>
    <col min="8462" max="8463" width="8.5703125" style="1" customWidth="1"/>
    <col min="8464" max="8464" width="19" style="1" bestFit="1" customWidth="1"/>
    <col min="8465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7" width="10.85546875" style="1" customWidth="1"/>
    <col min="8718" max="8719" width="8.5703125" style="1" customWidth="1"/>
    <col min="8720" max="8720" width="19" style="1" bestFit="1" customWidth="1"/>
    <col min="8721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3" width="10.85546875" style="1" customWidth="1"/>
    <col min="8974" max="8975" width="8.5703125" style="1" customWidth="1"/>
    <col min="8976" max="8976" width="19" style="1" bestFit="1" customWidth="1"/>
    <col min="8977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29" width="10.85546875" style="1" customWidth="1"/>
    <col min="9230" max="9231" width="8.5703125" style="1" customWidth="1"/>
    <col min="9232" max="9232" width="19" style="1" bestFit="1" customWidth="1"/>
    <col min="9233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5" width="10.85546875" style="1" customWidth="1"/>
    <col min="9486" max="9487" width="8.5703125" style="1" customWidth="1"/>
    <col min="9488" max="9488" width="19" style="1" bestFit="1" customWidth="1"/>
    <col min="9489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1" width="10.85546875" style="1" customWidth="1"/>
    <col min="9742" max="9743" width="8.5703125" style="1" customWidth="1"/>
    <col min="9744" max="9744" width="19" style="1" bestFit="1" customWidth="1"/>
    <col min="9745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7" width="10.85546875" style="1" customWidth="1"/>
    <col min="9998" max="9999" width="8.5703125" style="1" customWidth="1"/>
    <col min="10000" max="10000" width="19" style="1" bestFit="1" customWidth="1"/>
    <col min="10001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3" width="10.85546875" style="1" customWidth="1"/>
    <col min="10254" max="10255" width="8.5703125" style="1" customWidth="1"/>
    <col min="10256" max="10256" width="19" style="1" bestFit="1" customWidth="1"/>
    <col min="10257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09" width="10.85546875" style="1" customWidth="1"/>
    <col min="10510" max="10511" width="8.5703125" style="1" customWidth="1"/>
    <col min="10512" max="10512" width="19" style="1" bestFit="1" customWidth="1"/>
    <col min="10513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5" width="10.85546875" style="1" customWidth="1"/>
    <col min="10766" max="10767" width="8.5703125" style="1" customWidth="1"/>
    <col min="10768" max="10768" width="19" style="1" bestFit="1" customWidth="1"/>
    <col min="10769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1" width="10.85546875" style="1" customWidth="1"/>
    <col min="11022" max="11023" width="8.5703125" style="1" customWidth="1"/>
    <col min="11024" max="11024" width="19" style="1" bestFit="1" customWidth="1"/>
    <col min="11025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7" width="10.85546875" style="1" customWidth="1"/>
    <col min="11278" max="11279" width="8.5703125" style="1" customWidth="1"/>
    <col min="11280" max="11280" width="19" style="1" bestFit="1" customWidth="1"/>
    <col min="11281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3" width="10.85546875" style="1" customWidth="1"/>
    <col min="11534" max="11535" width="8.5703125" style="1" customWidth="1"/>
    <col min="11536" max="11536" width="19" style="1" bestFit="1" customWidth="1"/>
    <col min="11537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89" width="10.85546875" style="1" customWidth="1"/>
    <col min="11790" max="11791" width="8.5703125" style="1" customWidth="1"/>
    <col min="11792" max="11792" width="19" style="1" bestFit="1" customWidth="1"/>
    <col min="11793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5" width="10.85546875" style="1" customWidth="1"/>
    <col min="12046" max="12047" width="8.5703125" style="1" customWidth="1"/>
    <col min="12048" max="12048" width="19" style="1" bestFit="1" customWidth="1"/>
    <col min="12049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1" width="10.85546875" style="1" customWidth="1"/>
    <col min="12302" max="12303" width="8.5703125" style="1" customWidth="1"/>
    <col min="12304" max="12304" width="19" style="1" bestFit="1" customWidth="1"/>
    <col min="12305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7" width="10.85546875" style="1" customWidth="1"/>
    <col min="12558" max="12559" width="8.5703125" style="1" customWidth="1"/>
    <col min="12560" max="12560" width="19" style="1" bestFit="1" customWidth="1"/>
    <col min="12561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3" width="10.85546875" style="1" customWidth="1"/>
    <col min="12814" max="12815" width="8.5703125" style="1" customWidth="1"/>
    <col min="12816" max="12816" width="19" style="1" bestFit="1" customWidth="1"/>
    <col min="12817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69" width="10.85546875" style="1" customWidth="1"/>
    <col min="13070" max="13071" width="8.5703125" style="1" customWidth="1"/>
    <col min="13072" max="13072" width="19" style="1" bestFit="1" customWidth="1"/>
    <col min="13073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5" width="10.85546875" style="1" customWidth="1"/>
    <col min="13326" max="13327" width="8.5703125" style="1" customWidth="1"/>
    <col min="13328" max="13328" width="19" style="1" bestFit="1" customWidth="1"/>
    <col min="13329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1" width="10.85546875" style="1" customWidth="1"/>
    <col min="13582" max="13583" width="8.5703125" style="1" customWidth="1"/>
    <col min="13584" max="13584" width="19" style="1" bestFit="1" customWidth="1"/>
    <col min="13585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7" width="10.85546875" style="1" customWidth="1"/>
    <col min="13838" max="13839" width="8.5703125" style="1" customWidth="1"/>
    <col min="13840" max="13840" width="19" style="1" bestFit="1" customWidth="1"/>
    <col min="13841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3" width="10.85546875" style="1" customWidth="1"/>
    <col min="14094" max="14095" width="8.5703125" style="1" customWidth="1"/>
    <col min="14096" max="14096" width="19" style="1" bestFit="1" customWidth="1"/>
    <col min="14097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49" width="10.85546875" style="1" customWidth="1"/>
    <col min="14350" max="14351" width="8.5703125" style="1" customWidth="1"/>
    <col min="14352" max="14352" width="19" style="1" bestFit="1" customWidth="1"/>
    <col min="14353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5" width="10.85546875" style="1" customWidth="1"/>
    <col min="14606" max="14607" width="8.5703125" style="1" customWidth="1"/>
    <col min="14608" max="14608" width="19" style="1" bestFit="1" customWidth="1"/>
    <col min="14609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1" width="10.85546875" style="1" customWidth="1"/>
    <col min="14862" max="14863" width="8.5703125" style="1" customWidth="1"/>
    <col min="14864" max="14864" width="19" style="1" bestFit="1" customWidth="1"/>
    <col min="14865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7" width="10.85546875" style="1" customWidth="1"/>
    <col min="15118" max="15119" width="8.5703125" style="1" customWidth="1"/>
    <col min="15120" max="15120" width="19" style="1" bestFit="1" customWidth="1"/>
    <col min="15121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3" width="10.85546875" style="1" customWidth="1"/>
    <col min="15374" max="15375" width="8.5703125" style="1" customWidth="1"/>
    <col min="15376" max="15376" width="19" style="1" bestFit="1" customWidth="1"/>
    <col min="15377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29" width="10.85546875" style="1" customWidth="1"/>
    <col min="15630" max="15631" width="8.5703125" style="1" customWidth="1"/>
    <col min="15632" max="15632" width="19" style="1" bestFit="1" customWidth="1"/>
    <col min="15633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5" width="10.85546875" style="1" customWidth="1"/>
    <col min="15886" max="15887" width="8.5703125" style="1" customWidth="1"/>
    <col min="15888" max="15888" width="19" style="1" bestFit="1" customWidth="1"/>
    <col min="15889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1" width="10.85546875" style="1" customWidth="1"/>
    <col min="16142" max="16143" width="8.5703125" style="1" customWidth="1"/>
    <col min="16144" max="16144" width="19" style="1" bestFit="1" customWidth="1"/>
    <col min="16145" max="16384" width="9.140625" style="1"/>
  </cols>
  <sheetData>
    <row r="2" spans="1:15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</row>
    <row r="3" spans="1:15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</row>
    <row r="4" spans="1:15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7"/>
      <c r="N4" s="7"/>
      <c r="O4" s="7"/>
    </row>
    <row r="5" spans="1:15" s="8" customFormat="1" ht="18" customHeight="1" thickBot="1" x14ac:dyDescent="0.3">
      <c r="B5" s="9"/>
      <c r="L5" s="10"/>
      <c r="M5" s="11"/>
      <c r="N5" s="11"/>
      <c r="O5" s="11"/>
    </row>
    <row r="6" spans="1:15" s="63" customFormat="1" ht="32.1" customHeight="1" thickBot="1" x14ac:dyDescent="0.3">
      <c r="A6" s="18"/>
      <c r="B6" s="356" t="s">
        <v>1304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7"/>
      <c r="N6" s="358"/>
      <c r="O6" s="358"/>
    </row>
    <row r="7" spans="1:15" ht="6.95" customHeight="1" thickBot="1" x14ac:dyDescent="0.3">
      <c r="B7" s="42"/>
      <c r="C7" s="42"/>
      <c r="D7" s="42"/>
      <c r="E7" s="42"/>
      <c r="F7" s="42"/>
      <c r="G7" s="42"/>
      <c r="H7" s="210"/>
      <c r="I7" s="210"/>
      <c r="J7" s="210"/>
      <c r="K7" s="210"/>
      <c r="L7" s="42"/>
      <c r="M7" s="42"/>
      <c r="N7" s="42"/>
      <c r="O7" s="42"/>
    </row>
    <row r="8" spans="1:15" s="47" customFormat="1" ht="18" customHeight="1" x14ac:dyDescent="0.25">
      <c r="A8" s="59"/>
      <c r="B8" s="341" t="s">
        <v>1</v>
      </c>
      <c r="C8" s="337" t="s">
        <v>2</v>
      </c>
      <c r="D8" s="338"/>
      <c r="E8" s="346" t="s">
        <v>3</v>
      </c>
      <c r="F8" s="346"/>
      <c r="G8" s="15" t="s">
        <v>4</v>
      </c>
      <c r="H8" s="350" t="s">
        <v>5</v>
      </c>
      <c r="I8" s="351"/>
      <c r="J8" s="351"/>
      <c r="K8" s="345"/>
      <c r="L8" s="325" t="s">
        <v>6</v>
      </c>
      <c r="M8" s="328" t="s">
        <v>7</v>
      </c>
      <c r="N8" s="312" t="s">
        <v>8</v>
      </c>
      <c r="O8" s="16" t="s">
        <v>9</v>
      </c>
    </row>
    <row r="9" spans="1:15" s="59" customFormat="1" ht="18" customHeight="1" x14ac:dyDescent="0.25">
      <c r="A9" s="18" t="s">
        <v>296</v>
      </c>
      <c r="B9" s="342"/>
      <c r="C9" s="339"/>
      <c r="D9" s="340"/>
      <c r="E9" s="19" t="s">
        <v>10</v>
      </c>
      <c r="F9" s="20" t="s">
        <v>11</v>
      </c>
      <c r="G9" s="21"/>
      <c r="H9" s="102"/>
      <c r="I9" s="182"/>
      <c r="J9" s="344"/>
      <c r="K9" s="349"/>
      <c r="L9" s="326"/>
      <c r="M9" s="329"/>
      <c r="N9" s="313"/>
      <c r="O9" s="22"/>
    </row>
    <row r="10" spans="1:15" s="47" customFormat="1" ht="18" customHeight="1" thickBot="1" x14ac:dyDescent="0.3">
      <c r="B10" s="343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297</v>
      </c>
      <c r="J10" s="202" t="s">
        <v>717</v>
      </c>
      <c r="K10" s="187" t="s">
        <v>298</v>
      </c>
      <c r="L10" s="327"/>
      <c r="M10" s="26" t="s">
        <v>19</v>
      </c>
      <c r="N10" s="27" t="s">
        <v>20</v>
      </c>
      <c r="O10" s="28" t="s">
        <v>21</v>
      </c>
    </row>
    <row r="11" spans="1:15" s="47" customFormat="1" ht="18" customHeight="1" thickBot="1" x14ac:dyDescent="0.3">
      <c r="A11" s="59"/>
      <c r="B11" s="29" t="s">
        <v>944</v>
      </c>
      <c r="C11" s="76">
        <v>0.37</v>
      </c>
      <c r="D11" s="77">
        <v>0.5</v>
      </c>
      <c r="E11" s="76">
        <v>1</v>
      </c>
      <c r="F11" s="77">
        <v>11.5</v>
      </c>
      <c r="G11" s="92" t="s">
        <v>299</v>
      </c>
      <c r="H11" s="194">
        <v>100601368</v>
      </c>
      <c r="I11" s="166">
        <v>294.98644983306241</v>
      </c>
      <c r="J11" s="211"/>
      <c r="K11" s="86">
        <v>364.62003076800005</v>
      </c>
      <c r="L11" s="76" t="s">
        <v>23</v>
      </c>
      <c r="M11" s="81">
        <v>2900</v>
      </c>
      <c r="N11" s="81">
        <v>20</v>
      </c>
      <c r="O11" s="82">
        <f>0.27*0.27*0.5</f>
        <v>3.6450000000000003E-2</v>
      </c>
    </row>
    <row r="12" spans="1:15" s="47" customFormat="1" ht="18" customHeight="1" thickBot="1" x14ac:dyDescent="0.3">
      <c r="A12" s="104"/>
      <c r="B12" s="29" t="s">
        <v>945</v>
      </c>
      <c r="C12" s="76">
        <v>0.37</v>
      </c>
      <c r="D12" s="77">
        <v>0.5</v>
      </c>
      <c r="E12" s="76">
        <v>1</v>
      </c>
      <c r="F12" s="77">
        <v>17</v>
      </c>
      <c r="G12" s="92" t="s">
        <v>299</v>
      </c>
      <c r="H12" s="194">
        <v>100601369</v>
      </c>
      <c r="I12" s="166">
        <v>364</v>
      </c>
      <c r="J12" s="211"/>
      <c r="K12" s="86">
        <v>432.35999251199996</v>
      </c>
      <c r="L12" s="76" t="s">
        <v>23</v>
      </c>
      <c r="M12" s="81">
        <v>2900</v>
      </c>
      <c r="N12" s="81">
        <v>20</v>
      </c>
      <c r="O12" s="82">
        <f>0.27*0.27*0.52</f>
        <v>3.7908000000000004E-2</v>
      </c>
    </row>
    <row r="13" spans="1:15" s="47" customFormat="1" ht="18" customHeight="1" thickBot="1" x14ac:dyDescent="0.3">
      <c r="A13" s="104"/>
      <c r="B13" s="29" t="s">
        <v>946</v>
      </c>
      <c r="C13" s="76">
        <v>0.37</v>
      </c>
      <c r="D13" s="77">
        <v>0.5</v>
      </c>
      <c r="E13" s="76">
        <v>1</v>
      </c>
      <c r="F13" s="77">
        <v>22.5</v>
      </c>
      <c r="G13" s="92" t="s">
        <v>299</v>
      </c>
      <c r="H13" s="194">
        <v>100601370</v>
      </c>
      <c r="I13" s="166">
        <v>385.4774622214656</v>
      </c>
      <c r="J13" s="211"/>
      <c r="K13" s="86">
        <v>455.47441732800002</v>
      </c>
      <c r="L13" s="76" t="s">
        <v>23</v>
      </c>
      <c r="M13" s="81">
        <v>2900</v>
      </c>
      <c r="N13" s="81">
        <v>21</v>
      </c>
      <c r="O13" s="82">
        <f>0.27*0.27*0.54</f>
        <v>3.9366000000000005E-2</v>
      </c>
    </row>
    <row r="14" spans="1:15" s="47" customFormat="1" ht="18" customHeight="1" thickBot="1" x14ac:dyDescent="0.3">
      <c r="A14" s="104"/>
      <c r="B14" s="29" t="s">
        <v>947</v>
      </c>
      <c r="C14" s="76">
        <v>0.37</v>
      </c>
      <c r="D14" s="77">
        <v>0.5</v>
      </c>
      <c r="E14" s="76">
        <v>1</v>
      </c>
      <c r="F14" s="77">
        <v>28</v>
      </c>
      <c r="G14" s="92" t="s">
        <v>299</v>
      </c>
      <c r="H14" s="194">
        <v>100601371</v>
      </c>
      <c r="I14" s="166">
        <v>426.62593439020804</v>
      </c>
      <c r="J14" s="211"/>
      <c r="K14" s="86">
        <v>496.31435481599999</v>
      </c>
      <c r="L14" s="76" t="s">
        <v>23</v>
      </c>
      <c r="M14" s="81">
        <v>2900</v>
      </c>
      <c r="N14" s="81">
        <v>21</v>
      </c>
      <c r="O14" s="82">
        <f>0.27*0.27*0.56</f>
        <v>4.0824000000000006E-2</v>
      </c>
    </row>
    <row r="15" spans="1:15" s="47" customFormat="1" ht="18" customHeight="1" thickBot="1" x14ac:dyDescent="0.3">
      <c r="A15" s="104"/>
      <c r="B15" s="29" t="s">
        <v>948</v>
      </c>
      <c r="C15" s="76">
        <v>0.37</v>
      </c>
      <c r="D15" s="77">
        <v>0.5</v>
      </c>
      <c r="E15" s="76">
        <v>1</v>
      </c>
      <c r="F15" s="77">
        <v>33.5</v>
      </c>
      <c r="G15" s="92" t="s">
        <v>299</v>
      </c>
      <c r="H15" s="194">
        <v>100601372</v>
      </c>
      <c r="I15" s="166">
        <v>477</v>
      </c>
      <c r="J15" s="211"/>
      <c r="K15" s="86">
        <v>546.32880388800004</v>
      </c>
      <c r="L15" s="76" t="s">
        <v>23</v>
      </c>
      <c r="M15" s="81">
        <v>2900</v>
      </c>
      <c r="N15" s="81">
        <v>22</v>
      </c>
      <c r="O15" s="82">
        <f>0.27*0.27*0.58</f>
        <v>4.2282E-2</v>
      </c>
    </row>
    <row r="16" spans="1:15" s="47" customFormat="1" ht="18" customHeight="1" thickBot="1" x14ac:dyDescent="0.3">
      <c r="A16" s="104"/>
      <c r="B16" s="29" t="s">
        <v>949</v>
      </c>
      <c r="C16" s="76">
        <v>0.37</v>
      </c>
      <c r="D16" s="77">
        <v>0.5</v>
      </c>
      <c r="E16" s="76">
        <v>1</v>
      </c>
      <c r="F16" s="77">
        <v>39</v>
      </c>
      <c r="G16" s="92" t="s">
        <v>299</v>
      </c>
      <c r="H16" s="194">
        <v>100601373</v>
      </c>
      <c r="I16" s="166">
        <v>509.23460957745607</v>
      </c>
      <c r="J16" s="211"/>
      <c r="K16" s="86">
        <v>578.61774028799994</v>
      </c>
      <c r="L16" s="76" t="s">
        <v>23</v>
      </c>
      <c r="M16" s="81">
        <v>2900</v>
      </c>
      <c r="N16" s="81">
        <v>23</v>
      </c>
      <c r="O16" s="82">
        <f>0.27*0.27*0.59</f>
        <v>4.3011000000000001E-2</v>
      </c>
    </row>
    <row r="17" spans="1:15" s="47" customFormat="1" ht="18" customHeight="1" thickBot="1" x14ac:dyDescent="0.3">
      <c r="B17" s="29" t="s">
        <v>950</v>
      </c>
      <c r="C17" s="76">
        <v>0.55000000000000004</v>
      </c>
      <c r="D17" s="77">
        <v>0.75</v>
      </c>
      <c r="E17" s="76">
        <v>1</v>
      </c>
      <c r="F17" s="77">
        <v>45</v>
      </c>
      <c r="G17" s="92" t="s">
        <v>299</v>
      </c>
      <c r="H17" s="194">
        <v>100601374</v>
      </c>
      <c r="I17" s="166">
        <v>545.61805304267523</v>
      </c>
      <c r="J17" s="211"/>
      <c r="K17" s="86">
        <v>615.00403137600006</v>
      </c>
      <c r="L17" s="76" t="s">
        <v>23</v>
      </c>
      <c r="M17" s="81">
        <v>2900</v>
      </c>
      <c r="N17" s="81">
        <v>24</v>
      </c>
      <c r="O17" s="82">
        <f>0.27*0.27*0.61</f>
        <v>4.4469000000000002E-2</v>
      </c>
    </row>
    <row r="18" spans="1:15" s="47" customFormat="1" ht="18" customHeight="1" thickBot="1" x14ac:dyDescent="0.3">
      <c r="B18" s="29" t="s">
        <v>951</v>
      </c>
      <c r="C18" s="76">
        <v>0.55000000000000004</v>
      </c>
      <c r="D18" s="77">
        <v>0.75</v>
      </c>
      <c r="E18" s="76">
        <v>1</v>
      </c>
      <c r="F18" s="77">
        <v>51</v>
      </c>
      <c r="G18" s="92" t="s">
        <v>299</v>
      </c>
      <c r="H18" s="194">
        <v>100601375</v>
      </c>
      <c r="I18" s="166">
        <v>564</v>
      </c>
      <c r="J18" s="211"/>
      <c r="K18" s="86">
        <v>633.04129929600003</v>
      </c>
      <c r="L18" s="76" t="s">
        <v>23</v>
      </c>
      <c r="M18" s="81">
        <v>2900</v>
      </c>
      <c r="N18" s="81">
        <v>25</v>
      </c>
      <c r="O18" s="82">
        <f>0.27*0.27*0.63</f>
        <v>4.5927000000000003E-2</v>
      </c>
    </row>
    <row r="19" spans="1:15" s="47" customFormat="1" ht="18" customHeight="1" thickBot="1" x14ac:dyDescent="0.3">
      <c r="B19" s="29" t="s">
        <v>952</v>
      </c>
      <c r="C19" s="76">
        <v>0.55000000000000004</v>
      </c>
      <c r="D19" s="77">
        <v>0.75</v>
      </c>
      <c r="E19" s="76">
        <v>1</v>
      </c>
      <c r="F19" s="77">
        <v>57</v>
      </c>
      <c r="G19" s="92" t="s">
        <v>299</v>
      </c>
      <c r="H19" s="194">
        <v>100601376</v>
      </c>
      <c r="I19" s="166">
        <v>591</v>
      </c>
      <c r="J19" s="211"/>
      <c r="K19" s="86">
        <v>660.56483404799985</v>
      </c>
      <c r="L19" s="76" t="s">
        <v>23</v>
      </c>
      <c r="M19" s="81">
        <v>2900</v>
      </c>
      <c r="N19" s="81">
        <v>26</v>
      </c>
      <c r="O19" s="82">
        <f>0.27*0.27*0.65</f>
        <v>4.7385000000000004E-2</v>
      </c>
    </row>
    <row r="20" spans="1:15" s="47" customFormat="1" ht="18" customHeight="1" thickBot="1" x14ac:dyDescent="0.3">
      <c r="A20" s="104"/>
      <c r="B20" s="84" t="s">
        <v>953</v>
      </c>
      <c r="C20" s="76">
        <v>0.55000000000000004</v>
      </c>
      <c r="D20" s="77">
        <v>0.75</v>
      </c>
      <c r="E20" s="76">
        <v>1</v>
      </c>
      <c r="F20" s="77">
        <v>61</v>
      </c>
      <c r="G20" s="92" t="s">
        <v>299</v>
      </c>
      <c r="H20" s="192">
        <v>100602617</v>
      </c>
      <c r="I20" s="85">
        <v>631.74483353439348</v>
      </c>
      <c r="J20" s="211"/>
      <c r="K20" s="86">
        <v>700.78126104</v>
      </c>
      <c r="L20" s="76" t="s">
        <v>23</v>
      </c>
      <c r="M20" s="81">
        <v>2900</v>
      </c>
      <c r="N20" s="81">
        <v>26</v>
      </c>
      <c r="O20" s="82">
        <f>0.27*0.27*0.67</f>
        <v>4.8843000000000004E-2</v>
      </c>
    </row>
    <row r="21" spans="1:15" s="47" customFormat="1" ht="18" customHeight="1" thickBot="1" x14ac:dyDescent="0.3">
      <c r="A21" s="335"/>
      <c r="B21" s="84" t="s">
        <v>954</v>
      </c>
      <c r="C21" s="76">
        <v>0.75</v>
      </c>
      <c r="D21" s="77">
        <v>1</v>
      </c>
      <c r="E21" s="76">
        <v>1</v>
      </c>
      <c r="F21" s="77">
        <v>67</v>
      </c>
      <c r="G21" s="92" t="s">
        <v>299</v>
      </c>
      <c r="H21" s="192">
        <v>100602618</v>
      </c>
      <c r="I21" s="85">
        <v>658.64275257110398</v>
      </c>
      <c r="J21" s="211"/>
      <c r="K21" s="86">
        <v>728.30479579199994</v>
      </c>
      <c r="L21" s="76" t="s">
        <v>23</v>
      </c>
      <c r="M21" s="81">
        <v>2900</v>
      </c>
      <c r="N21" s="81">
        <v>29</v>
      </c>
      <c r="O21" s="82">
        <f>0.29*0.27*0.71</f>
        <v>5.5592999999999997E-2</v>
      </c>
    </row>
    <row r="22" spans="1:15" s="47" customFormat="1" ht="18" customHeight="1" thickBot="1" x14ac:dyDescent="0.3">
      <c r="A22" s="353"/>
      <c r="B22" s="84" t="s">
        <v>955</v>
      </c>
      <c r="C22" s="76">
        <v>0.75</v>
      </c>
      <c r="D22" s="77">
        <v>1</v>
      </c>
      <c r="E22" s="76">
        <v>1</v>
      </c>
      <c r="F22" s="77">
        <v>73</v>
      </c>
      <c r="G22" s="92" t="s">
        <v>299</v>
      </c>
      <c r="H22" s="192">
        <v>100602619</v>
      </c>
      <c r="I22" s="85">
        <v>673</v>
      </c>
      <c r="J22" s="211"/>
      <c r="K22" s="86">
        <v>742.8682195199998</v>
      </c>
      <c r="L22" s="76" t="s">
        <v>23</v>
      </c>
      <c r="M22" s="81">
        <v>2900</v>
      </c>
      <c r="N22" s="81">
        <v>30</v>
      </c>
      <c r="O22" s="82">
        <f>0.29*0.27*0.73</f>
        <v>5.7158999999999995E-2</v>
      </c>
    </row>
    <row r="23" spans="1:15" s="47" customFormat="1" ht="18" customHeight="1" thickBot="1" x14ac:dyDescent="0.3">
      <c r="B23" s="84" t="s">
        <v>956</v>
      </c>
      <c r="C23" s="76">
        <v>0.75</v>
      </c>
      <c r="D23" s="77">
        <v>1</v>
      </c>
      <c r="E23" s="76">
        <v>1</v>
      </c>
      <c r="F23" s="77">
        <v>84</v>
      </c>
      <c r="G23" s="92" t="s">
        <v>299</v>
      </c>
      <c r="H23" s="192">
        <v>100602620</v>
      </c>
      <c r="I23" s="85">
        <v>708.65328746882881</v>
      </c>
      <c r="J23" s="211"/>
      <c r="K23" s="86">
        <v>778.00748961599993</v>
      </c>
      <c r="L23" s="76" t="s">
        <v>23</v>
      </c>
      <c r="M23" s="81">
        <v>2900</v>
      </c>
      <c r="N23" s="81">
        <v>31</v>
      </c>
      <c r="O23" s="82">
        <f>0.29*0.27*0.77</f>
        <v>6.0290999999999997E-2</v>
      </c>
    </row>
    <row r="24" spans="1:15" s="47" customFormat="1" ht="18" customHeight="1" thickBot="1" x14ac:dyDescent="0.3">
      <c r="A24" s="104"/>
      <c r="B24" s="84" t="s">
        <v>957</v>
      </c>
      <c r="C24" s="76">
        <v>1.1000000000000001</v>
      </c>
      <c r="D24" s="77">
        <v>1.5</v>
      </c>
      <c r="E24" s="76">
        <v>1</v>
      </c>
      <c r="F24" s="77">
        <v>95</v>
      </c>
      <c r="G24" s="92" t="s">
        <v>299</v>
      </c>
      <c r="H24" s="192">
        <v>100602621</v>
      </c>
      <c r="I24" s="85">
        <v>721.92411507303359</v>
      </c>
      <c r="J24" s="212"/>
      <c r="K24" s="86">
        <v>791.63564759999997</v>
      </c>
      <c r="L24" s="76" t="s">
        <v>23</v>
      </c>
      <c r="M24" s="81">
        <v>2900</v>
      </c>
      <c r="N24" s="81">
        <v>33</v>
      </c>
      <c r="O24" s="82">
        <f>0.29*0.27*0.8</f>
        <v>6.2640000000000001E-2</v>
      </c>
    </row>
    <row r="25" spans="1:15" s="47" customFormat="1" ht="18" customHeight="1" thickBot="1" x14ac:dyDescent="0.3">
      <c r="A25" s="104"/>
      <c r="B25" s="84" t="s">
        <v>958</v>
      </c>
      <c r="C25" s="76">
        <v>1.1000000000000001</v>
      </c>
      <c r="D25" s="77">
        <v>1.5</v>
      </c>
      <c r="E25" s="76">
        <v>1</v>
      </c>
      <c r="F25" s="77">
        <v>106</v>
      </c>
      <c r="G25" s="92" t="s">
        <v>299</v>
      </c>
      <c r="H25" s="192">
        <v>100602622</v>
      </c>
      <c r="I25" s="85">
        <v>781.73190524903055</v>
      </c>
      <c r="J25" s="212"/>
      <c r="K25" s="86">
        <v>851.13636350399997</v>
      </c>
      <c r="L25" s="76" t="s">
        <v>23</v>
      </c>
      <c r="M25" s="81">
        <v>2900</v>
      </c>
      <c r="N25" s="81">
        <v>34</v>
      </c>
      <c r="O25" s="82">
        <f>0.29*0.27*0.84</f>
        <v>6.5771999999999997E-2</v>
      </c>
    </row>
    <row r="26" spans="1:15" s="47" customFormat="1" ht="18" customHeight="1" thickBot="1" x14ac:dyDescent="0.3">
      <c r="A26" s="104"/>
      <c r="B26" s="84" t="s">
        <v>959</v>
      </c>
      <c r="C26" s="76">
        <v>1.1000000000000001</v>
      </c>
      <c r="D26" s="77">
        <v>1.5</v>
      </c>
      <c r="E26" s="76">
        <v>1</v>
      </c>
      <c r="F26" s="77">
        <v>117</v>
      </c>
      <c r="G26" s="92" t="s">
        <v>299</v>
      </c>
      <c r="H26" s="192">
        <v>100602392</v>
      </c>
      <c r="I26" s="85">
        <v>817.80361786448645</v>
      </c>
      <c r="J26" s="212"/>
      <c r="K26" s="86">
        <v>887.83440984000003</v>
      </c>
      <c r="L26" s="76" t="s">
        <v>23</v>
      </c>
      <c r="M26" s="81">
        <v>2900</v>
      </c>
      <c r="N26" s="81">
        <v>35</v>
      </c>
      <c r="O26" s="82">
        <f>0.29*0.27*0.88</f>
        <v>6.8903999999999993E-2</v>
      </c>
    </row>
    <row r="27" spans="1:15" s="47" customFormat="1" ht="18" customHeight="1" thickBot="1" x14ac:dyDescent="0.3">
      <c r="A27" s="104"/>
      <c r="B27" s="84" t="s">
        <v>960</v>
      </c>
      <c r="C27" s="76">
        <v>1.1000000000000001</v>
      </c>
      <c r="D27" s="77">
        <v>1.5</v>
      </c>
      <c r="E27" s="76">
        <v>1</v>
      </c>
      <c r="F27" s="77">
        <v>128</v>
      </c>
      <c r="G27" s="92" t="s">
        <v>299</v>
      </c>
      <c r="H27" s="192">
        <v>100602623</v>
      </c>
      <c r="I27" s="85">
        <v>924.14837061227524</v>
      </c>
      <c r="J27" s="212"/>
      <c r="K27" s="86">
        <v>995.12275161599996</v>
      </c>
      <c r="L27" s="76" t="s">
        <v>23</v>
      </c>
      <c r="M27" s="81">
        <v>2900</v>
      </c>
      <c r="N27" s="81">
        <v>36</v>
      </c>
      <c r="O27" s="82">
        <f>0.29*0.27*0.91</f>
        <v>7.1252999999999997E-2</v>
      </c>
    </row>
    <row r="28" spans="1:15" s="47" customFormat="1" ht="18" customHeight="1" thickBot="1" x14ac:dyDescent="0.3">
      <c r="A28" s="104"/>
      <c r="B28" s="84" t="s">
        <v>961</v>
      </c>
      <c r="C28" s="76">
        <v>1.5</v>
      </c>
      <c r="D28" s="77">
        <v>2</v>
      </c>
      <c r="E28" s="76">
        <v>1</v>
      </c>
      <c r="F28" s="77">
        <v>139</v>
      </c>
      <c r="G28" s="92" t="s">
        <v>299</v>
      </c>
      <c r="H28" s="192">
        <v>100602624</v>
      </c>
      <c r="I28" s="85">
        <v>942.54049074830414</v>
      </c>
      <c r="J28" s="212"/>
      <c r="K28" s="86">
        <v>1026.4764222719998</v>
      </c>
      <c r="L28" s="76" t="s">
        <v>23</v>
      </c>
      <c r="M28" s="81">
        <v>2900</v>
      </c>
      <c r="N28" s="81">
        <v>42</v>
      </c>
      <c r="O28" s="82">
        <f>0.3*0.27*1</f>
        <v>8.1000000000000003E-2</v>
      </c>
    </row>
    <row r="29" spans="1:15" s="47" customFormat="1" ht="18" customHeight="1" thickBot="1" x14ac:dyDescent="0.3">
      <c r="A29" s="104"/>
      <c r="B29" s="84" t="s">
        <v>962</v>
      </c>
      <c r="C29" s="76">
        <v>1.5</v>
      </c>
      <c r="D29" s="77">
        <v>2</v>
      </c>
      <c r="E29" s="76">
        <v>1</v>
      </c>
      <c r="F29" s="77">
        <v>150</v>
      </c>
      <c r="G29" s="92" t="s">
        <v>299</v>
      </c>
      <c r="H29" s="192">
        <v>100602625</v>
      </c>
      <c r="I29" s="85">
        <v>971.620525733357</v>
      </c>
      <c r="J29" s="212"/>
      <c r="K29" s="86">
        <v>1041.9751117439998</v>
      </c>
      <c r="L29" s="76" t="s">
        <v>23</v>
      </c>
      <c r="M29" s="81">
        <v>2900</v>
      </c>
      <c r="N29" s="81">
        <v>43</v>
      </c>
      <c r="O29" s="82">
        <f>0.3*0.27*1.04</f>
        <v>8.4240000000000009E-2</v>
      </c>
    </row>
    <row r="30" spans="1:15" s="47" customFormat="1" ht="18" customHeight="1" thickBot="1" x14ac:dyDescent="0.3">
      <c r="A30" s="104"/>
      <c r="B30" s="84" t="s">
        <v>963</v>
      </c>
      <c r="C30" s="76">
        <v>1.5</v>
      </c>
      <c r="D30" s="77">
        <v>2</v>
      </c>
      <c r="E30" s="76">
        <v>1</v>
      </c>
      <c r="F30" s="77">
        <v>166</v>
      </c>
      <c r="G30" s="92" t="s">
        <v>299</v>
      </c>
      <c r="H30" s="192">
        <v>100602393</v>
      </c>
      <c r="I30" s="85">
        <v>995.0448724441344</v>
      </c>
      <c r="J30" s="212"/>
      <c r="K30" s="86">
        <v>1063.1744686079999</v>
      </c>
      <c r="L30" s="76" t="s">
        <v>23</v>
      </c>
      <c r="M30" s="81">
        <v>2900</v>
      </c>
      <c r="N30" s="81">
        <v>45</v>
      </c>
      <c r="O30" s="82">
        <f>0.3*0.27*1.09</f>
        <v>8.8290000000000007E-2</v>
      </c>
    </row>
    <row r="31" spans="1:15" s="47" customFormat="1" ht="18" customHeight="1" thickBot="1" x14ac:dyDescent="0.3">
      <c r="A31" s="18"/>
      <c r="B31" s="84" t="s">
        <v>964</v>
      </c>
      <c r="C31" s="76">
        <v>2.2000000000000002</v>
      </c>
      <c r="D31" s="77">
        <v>3</v>
      </c>
      <c r="E31" s="76">
        <v>1</v>
      </c>
      <c r="F31" s="77">
        <v>183</v>
      </c>
      <c r="G31" s="92" t="s">
        <v>299</v>
      </c>
      <c r="H31" s="192">
        <v>100602626</v>
      </c>
      <c r="I31" s="85">
        <v>1285.6225574019745</v>
      </c>
      <c r="J31" s="212"/>
      <c r="K31" s="86">
        <v>1355.6454276959998</v>
      </c>
      <c r="L31" s="76" t="s">
        <v>23</v>
      </c>
      <c r="M31" s="81">
        <v>2900</v>
      </c>
      <c r="N31" s="81">
        <v>49</v>
      </c>
      <c r="O31" s="82">
        <f>0.3*0.27*1.15</f>
        <v>9.3149999999999997E-2</v>
      </c>
    </row>
    <row r="32" spans="1:15" s="47" customFormat="1" ht="18" customHeight="1" thickBot="1" x14ac:dyDescent="0.3">
      <c r="A32" s="104"/>
      <c r="B32" s="84" t="s">
        <v>965</v>
      </c>
      <c r="C32" s="76">
        <v>2.2000000000000002</v>
      </c>
      <c r="D32" s="77">
        <v>3</v>
      </c>
      <c r="E32" s="76">
        <v>1</v>
      </c>
      <c r="F32" s="77">
        <v>200</v>
      </c>
      <c r="G32" s="92" t="s">
        <v>299</v>
      </c>
      <c r="H32" s="192">
        <v>100602627</v>
      </c>
      <c r="I32" s="85">
        <v>1357.7659826328866</v>
      </c>
      <c r="J32" s="212">
        <v>100588027</v>
      </c>
      <c r="K32" s="86">
        <v>1428.4625463359998</v>
      </c>
      <c r="L32" s="76" t="s">
        <v>23</v>
      </c>
      <c r="M32" s="81">
        <v>2900</v>
      </c>
      <c r="N32" s="81">
        <v>51</v>
      </c>
      <c r="O32" s="82">
        <f>0.3*0.27*1.2</f>
        <v>9.7199999999999995E-2</v>
      </c>
    </row>
    <row r="33" spans="1:15" s="47" customFormat="1" ht="18" customHeight="1" thickBot="1" x14ac:dyDescent="0.3">
      <c r="A33" s="104"/>
      <c r="B33" s="39" t="s">
        <v>966</v>
      </c>
      <c r="C33" s="76">
        <v>0.37</v>
      </c>
      <c r="D33" s="77">
        <v>0.5</v>
      </c>
      <c r="E33" s="76">
        <v>2</v>
      </c>
      <c r="F33" s="77">
        <v>15</v>
      </c>
      <c r="G33" s="92" t="s">
        <v>299</v>
      </c>
      <c r="H33" s="228">
        <v>100602628</v>
      </c>
      <c r="I33" s="117">
        <v>438.64983859536005</v>
      </c>
      <c r="J33" s="211"/>
      <c r="K33" s="41">
        <v>525.44120227199994</v>
      </c>
      <c r="L33" s="76" t="s">
        <v>23</v>
      </c>
      <c r="M33" s="81">
        <v>2900</v>
      </c>
      <c r="N33" s="81">
        <v>20</v>
      </c>
      <c r="O33" s="82">
        <f>0.27*0.27*0.5</f>
        <v>3.6450000000000003E-2</v>
      </c>
    </row>
    <row r="34" spans="1:15" s="47" customFormat="1" ht="18" customHeight="1" thickBot="1" x14ac:dyDescent="0.3">
      <c r="A34" s="335"/>
      <c r="B34" s="39" t="s">
        <v>967</v>
      </c>
      <c r="C34" s="76">
        <v>0.37</v>
      </c>
      <c r="D34" s="77">
        <v>0.5</v>
      </c>
      <c r="E34" s="76">
        <v>2</v>
      </c>
      <c r="F34" s="77">
        <v>22</v>
      </c>
      <c r="G34" s="92" t="s">
        <v>299</v>
      </c>
      <c r="H34" s="228">
        <v>100602629</v>
      </c>
      <c r="I34" s="117">
        <v>446.57670877505279</v>
      </c>
      <c r="J34" s="211"/>
      <c r="K34" s="41">
        <v>534.30395860800013</v>
      </c>
      <c r="L34" s="76" t="s">
        <v>23</v>
      </c>
      <c r="M34" s="81">
        <v>2900</v>
      </c>
      <c r="N34" s="81">
        <v>20</v>
      </c>
      <c r="O34" s="82">
        <f>0.27*0.27*0.52</f>
        <v>3.7908000000000004E-2</v>
      </c>
    </row>
    <row r="35" spans="1:15" s="47" customFormat="1" ht="18" customHeight="1" thickBot="1" x14ac:dyDescent="0.3">
      <c r="A35" s="353"/>
      <c r="B35" s="39" t="s">
        <v>968</v>
      </c>
      <c r="C35" s="76">
        <v>0.55000000000000004</v>
      </c>
      <c r="D35" s="77">
        <v>0.75</v>
      </c>
      <c r="E35" s="76">
        <v>2</v>
      </c>
      <c r="F35" s="77">
        <v>30</v>
      </c>
      <c r="G35" s="92" t="s">
        <v>299</v>
      </c>
      <c r="H35" s="228">
        <v>100602630</v>
      </c>
      <c r="I35" s="117">
        <v>460.51553105732165</v>
      </c>
      <c r="J35" s="211"/>
      <c r="K35" s="41">
        <v>548.51109062399985</v>
      </c>
      <c r="L35" s="76" t="s">
        <v>23</v>
      </c>
      <c r="M35" s="81">
        <v>2900</v>
      </c>
      <c r="N35" s="81">
        <v>22</v>
      </c>
      <c r="O35" s="82">
        <f>0.27*0.27*0.54</f>
        <v>3.9366000000000005E-2</v>
      </c>
    </row>
    <row r="36" spans="1:15" s="47" customFormat="1" ht="18" customHeight="1" thickBot="1" x14ac:dyDescent="0.3">
      <c r="A36" s="104"/>
      <c r="B36" s="29" t="s">
        <v>969</v>
      </c>
      <c r="C36" s="76">
        <v>0.55000000000000004</v>
      </c>
      <c r="D36" s="77">
        <v>0.75</v>
      </c>
      <c r="E36" s="76">
        <v>2</v>
      </c>
      <c r="F36" s="77">
        <v>37</v>
      </c>
      <c r="G36" s="92" t="s">
        <v>299</v>
      </c>
      <c r="H36" s="194">
        <v>100602631</v>
      </c>
      <c r="I36" s="166">
        <v>470.00105548583042</v>
      </c>
      <c r="J36" s="213">
        <v>100588025</v>
      </c>
      <c r="K36" s="33">
        <v>557.73013867199995</v>
      </c>
      <c r="L36" s="76" t="s">
        <v>23</v>
      </c>
      <c r="M36" s="81">
        <v>2900</v>
      </c>
      <c r="N36" s="81">
        <v>23</v>
      </c>
      <c r="O36" s="82">
        <f>0.27*0.27*0.56</f>
        <v>4.0824000000000006E-2</v>
      </c>
    </row>
    <row r="37" spans="1:15" s="47" customFormat="1" ht="18" customHeight="1" thickBot="1" x14ac:dyDescent="0.3">
      <c r="A37" s="104"/>
      <c r="B37" s="29" t="s">
        <v>970</v>
      </c>
      <c r="C37" s="76">
        <v>0.75</v>
      </c>
      <c r="D37" s="77">
        <v>1</v>
      </c>
      <c r="E37" s="76">
        <v>2</v>
      </c>
      <c r="F37" s="77">
        <v>45</v>
      </c>
      <c r="G37" s="92" t="s">
        <v>299</v>
      </c>
      <c r="H37" s="194">
        <v>100602632</v>
      </c>
      <c r="I37" s="166">
        <v>492.80194049708155</v>
      </c>
      <c r="J37" s="213">
        <v>100588174</v>
      </c>
      <c r="K37" s="33">
        <v>582</v>
      </c>
      <c r="L37" s="76" t="s">
        <v>23</v>
      </c>
      <c r="M37" s="81">
        <v>2900</v>
      </c>
      <c r="N37" s="81">
        <v>26</v>
      </c>
      <c r="O37" s="82">
        <f>0.29*0.27*0.61</f>
        <v>4.7762999999999993E-2</v>
      </c>
    </row>
    <row r="38" spans="1:15" s="47" customFormat="1" ht="18" customHeight="1" thickBot="1" x14ac:dyDescent="0.3">
      <c r="A38" s="104"/>
      <c r="B38" s="29" t="s">
        <v>971</v>
      </c>
      <c r="C38" s="76">
        <v>0.75</v>
      </c>
      <c r="D38" s="77">
        <v>1</v>
      </c>
      <c r="E38" s="76">
        <v>2</v>
      </c>
      <c r="F38" s="77">
        <v>52</v>
      </c>
      <c r="G38" s="92" t="s">
        <v>299</v>
      </c>
      <c r="H38" s="194">
        <v>100602633</v>
      </c>
      <c r="I38" s="166">
        <v>503.84611917440645</v>
      </c>
      <c r="J38" s="213">
        <v>100588175</v>
      </c>
      <c r="K38" s="33">
        <v>591.57785131199989</v>
      </c>
      <c r="L38" s="76" t="s">
        <v>23</v>
      </c>
      <c r="M38" s="81">
        <v>2900</v>
      </c>
      <c r="N38" s="81">
        <v>26</v>
      </c>
      <c r="O38" s="82">
        <f>0.29*0.27*0.62</f>
        <v>4.8545999999999999E-2</v>
      </c>
    </row>
    <row r="39" spans="1:15" s="47" customFormat="1" ht="18" customHeight="1" thickBot="1" x14ac:dyDescent="0.3">
      <c r="A39" s="104"/>
      <c r="B39" s="29" t="s">
        <v>972</v>
      </c>
      <c r="C39" s="76">
        <v>1.1000000000000001</v>
      </c>
      <c r="D39" s="77">
        <v>1.5</v>
      </c>
      <c r="E39" s="76">
        <v>2</v>
      </c>
      <c r="F39" s="77">
        <v>67</v>
      </c>
      <c r="G39" s="92" t="s">
        <v>299</v>
      </c>
      <c r="H39" s="194">
        <v>100602634</v>
      </c>
      <c r="I39" s="166">
        <v>534.26214351558735</v>
      </c>
      <c r="J39" s="213">
        <v>100588028</v>
      </c>
      <c r="K39" s="33">
        <v>623</v>
      </c>
      <c r="L39" s="76" t="s">
        <v>23</v>
      </c>
      <c r="M39" s="81">
        <v>2900</v>
      </c>
      <c r="N39" s="81">
        <v>28</v>
      </c>
      <c r="O39" s="82">
        <f>0.29*0.27*0.66</f>
        <v>5.1678000000000002E-2</v>
      </c>
    </row>
    <row r="40" spans="1:15" s="47" customFormat="1" ht="18" customHeight="1" thickBot="1" x14ac:dyDescent="0.3">
      <c r="B40" s="29" t="s">
        <v>973</v>
      </c>
      <c r="C40" s="76">
        <v>1.1000000000000001</v>
      </c>
      <c r="D40" s="77">
        <v>1.5</v>
      </c>
      <c r="E40" s="76">
        <v>2</v>
      </c>
      <c r="F40" s="77">
        <v>82</v>
      </c>
      <c r="G40" s="92" t="s">
        <v>299</v>
      </c>
      <c r="H40" s="194">
        <v>100602635</v>
      </c>
      <c r="I40" s="166">
        <v>553.85665407213128</v>
      </c>
      <c r="J40" s="213">
        <v>100588029</v>
      </c>
      <c r="K40" s="33">
        <v>641.59230038399994</v>
      </c>
      <c r="L40" s="76" t="s">
        <v>23</v>
      </c>
      <c r="M40" s="81">
        <v>2900</v>
      </c>
      <c r="N40" s="81">
        <v>29</v>
      </c>
      <c r="O40" s="82">
        <f>0.29*0.27*0.7</f>
        <v>5.4809999999999991E-2</v>
      </c>
    </row>
    <row r="41" spans="1:15" s="47" customFormat="1" ht="18" customHeight="1" thickBot="1" x14ac:dyDescent="0.3">
      <c r="A41" s="104"/>
      <c r="B41" s="29" t="s">
        <v>974</v>
      </c>
      <c r="C41" s="76">
        <v>1.5</v>
      </c>
      <c r="D41" s="77">
        <v>2</v>
      </c>
      <c r="E41" s="76">
        <v>2</v>
      </c>
      <c r="F41" s="77">
        <v>98</v>
      </c>
      <c r="G41" s="92" t="s">
        <v>299</v>
      </c>
      <c r="H41" s="194">
        <v>100601377</v>
      </c>
      <c r="I41" s="166">
        <v>633.30348778320956</v>
      </c>
      <c r="J41" s="213">
        <v>100588030</v>
      </c>
      <c r="K41" s="33">
        <v>722</v>
      </c>
      <c r="L41" s="76" t="s">
        <v>23</v>
      </c>
      <c r="M41" s="81">
        <v>2900</v>
      </c>
      <c r="N41" s="81">
        <v>35</v>
      </c>
      <c r="O41" s="82">
        <f>0.3*0.27*0.79</f>
        <v>6.3990000000000005E-2</v>
      </c>
    </row>
    <row r="42" spans="1:15" s="47" customFormat="1" ht="18" customHeight="1" thickBot="1" x14ac:dyDescent="0.3">
      <c r="A42" s="104"/>
      <c r="B42" s="29" t="s">
        <v>975</v>
      </c>
      <c r="C42" s="76">
        <v>1.5</v>
      </c>
      <c r="D42" s="77">
        <v>2</v>
      </c>
      <c r="E42" s="76">
        <v>2</v>
      </c>
      <c r="F42" s="77">
        <v>112</v>
      </c>
      <c r="G42" s="92" t="s">
        <v>299</v>
      </c>
      <c r="H42" s="194">
        <v>100602052</v>
      </c>
      <c r="I42" s="166">
        <v>651</v>
      </c>
      <c r="J42" s="213">
        <v>100588031</v>
      </c>
      <c r="K42" s="33">
        <v>740</v>
      </c>
      <c r="L42" s="76" t="s">
        <v>23</v>
      </c>
      <c r="M42" s="81">
        <v>2900</v>
      </c>
      <c r="N42" s="81">
        <v>36</v>
      </c>
      <c r="O42" s="82">
        <f>0.3*0.27*0.82</f>
        <v>6.6419999999999993E-2</v>
      </c>
    </row>
    <row r="43" spans="1:15" s="47" customFormat="1" ht="18" customHeight="1" thickBot="1" x14ac:dyDescent="0.3">
      <c r="A43" s="104"/>
      <c r="B43" s="29" t="s">
        <v>976</v>
      </c>
      <c r="C43" s="76">
        <v>2.2000000000000002</v>
      </c>
      <c r="D43" s="77">
        <v>3</v>
      </c>
      <c r="E43" s="76">
        <v>2</v>
      </c>
      <c r="F43" s="77">
        <v>136</v>
      </c>
      <c r="G43" s="92" t="s">
        <v>299</v>
      </c>
      <c r="H43" s="194">
        <v>100602636</v>
      </c>
      <c r="I43" s="166">
        <v>712.75032149428796</v>
      </c>
      <c r="J43" s="213">
        <v>100588032</v>
      </c>
      <c r="K43" s="33">
        <v>801</v>
      </c>
      <c r="L43" s="76" t="s">
        <v>23</v>
      </c>
      <c r="M43" s="81">
        <v>2900</v>
      </c>
      <c r="N43" s="81">
        <v>41</v>
      </c>
      <c r="O43" s="82">
        <f>0.3*0.27*0.88</f>
        <v>7.1279999999999996E-2</v>
      </c>
    </row>
    <row r="44" spans="1:15" s="47" customFormat="1" ht="18" customHeight="1" thickBot="1" x14ac:dyDescent="0.3">
      <c r="A44" s="104"/>
      <c r="B44" s="29" t="s">
        <v>977</v>
      </c>
      <c r="C44" s="76">
        <v>2.2000000000000002</v>
      </c>
      <c r="D44" s="77">
        <v>3</v>
      </c>
      <c r="E44" s="76">
        <v>2</v>
      </c>
      <c r="F44" s="77">
        <v>165</v>
      </c>
      <c r="G44" s="92" t="s">
        <v>299</v>
      </c>
      <c r="H44" s="194">
        <v>100602637</v>
      </c>
      <c r="I44" s="166">
        <v>751.04868303662408</v>
      </c>
      <c r="J44" s="213">
        <v>100588033</v>
      </c>
      <c r="K44" s="33">
        <v>838.13171601599993</v>
      </c>
      <c r="L44" s="76" t="s">
        <v>23</v>
      </c>
      <c r="M44" s="81">
        <v>2900</v>
      </c>
      <c r="N44" s="81">
        <v>42</v>
      </c>
      <c r="O44" s="82">
        <f>0.3*0.27*0.95</f>
        <v>7.6950000000000005E-2</v>
      </c>
    </row>
    <row r="45" spans="1:15" s="47" customFormat="1" ht="18" customHeight="1" thickBot="1" x14ac:dyDescent="0.3">
      <c r="A45" s="104"/>
      <c r="B45" s="29" t="s">
        <v>978</v>
      </c>
      <c r="C45" s="76">
        <v>3</v>
      </c>
      <c r="D45" s="77">
        <v>4</v>
      </c>
      <c r="E45" s="76">
        <v>2</v>
      </c>
      <c r="F45" s="77">
        <v>198</v>
      </c>
      <c r="G45" s="92" t="s">
        <v>299</v>
      </c>
      <c r="H45" s="194">
        <v>100601378</v>
      </c>
      <c r="I45" s="166">
        <v>894</v>
      </c>
      <c r="J45" s="213">
        <v>100588034</v>
      </c>
      <c r="K45" s="33">
        <v>983</v>
      </c>
      <c r="L45" s="76" t="s">
        <v>23</v>
      </c>
      <c r="M45" s="81">
        <v>2900</v>
      </c>
      <c r="N45" s="81">
        <v>52</v>
      </c>
      <c r="O45" s="82">
        <f>0.31*0.27*1.09</f>
        <v>9.1233000000000022E-2</v>
      </c>
    </row>
    <row r="46" spans="1:15" s="47" customFormat="1" ht="18" customHeight="1" thickBot="1" x14ac:dyDescent="0.3">
      <c r="A46" s="104"/>
      <c r="B46" s="29" t="s">
        <v>979</v>
      </c>
      <c r="C46" s="76">
        <v>0.37</v>
      </c>
      <c r="D46" s="77">
        <v>0.5</v>
      </c>
      <c r="E46" s="76">
        <v>3</v>
      </c>
      <c r="F46" s="77">
        <v>9</v>
      </c>
      <c r="G46" s="92" t="s">
        <v>299</v>
      </c>
      <c r="H46" s="194">
        <v>100602638</v>
      </c>
      <c r="I46" s="166">
        <v>317.11934016624963</v>
      </c>
      <c r="J46" s="213"/>
      <c r="K46" s="33">
        <v>386.79918984</v>
      </c>
      <c r="L46" s="76" t="s">
        <v>23</v>
      </c>
      <c r="M46" s="81">
        <v>2900</v>
      </c>
      <c r="N46" s="81">
        <v>20</v>
      </c>
      <c r="O46" s="82">
        <f>0.27*0.27*0.5</f>
        <v>3.6450000000000003E-2</v>
      </c>
    </row>
    <row r="47" spans="1:15" s="47" customFormat="1" ht="18" customHeight="1" thickBot="1" x14ac:dyDescent="0.3">
      <c r="A47" s="104"/>
      <c r="B47" s="29" t="s">
        <v>980</v>
      </c>
      <c r="C47" s="76">
        <v>0.37</v>
      </c>
      <c r="D47" s="77">
        <v>0.5</v>
      </c>
      <c r="E47" s="76">
        <v>3</v>
      </c>
      <c r="F47" s="77">
        <v>14</v>
      </c>
      <c r="G47" s="92" t="s">
        <v>299</v>
      </c>
      <c r="H47" s="194">
        <v>100602056</v>
      </c>
      <c r="I47" s="166">
        <v>385.4774622214656</v>
      </c>
      <c r="J47" s="213">
        <v>100588035</v>
      </c>
      <c r="K47" s="33">
        <v>455.47441732800002</v>
      </c>
      <c r="L47" s="76" t="s">
        <v>23</v>
      </c>
      <c r="M47" s="81">
        <v>2900</v>
      </c>
      <c r="N47" s="81">
        <v>20</v>
      </c>
      <c r="O47" s="82">
        <f>0.27*0.27*0.52</f>
        <v>3.7908000000000004E-2</v>
      </c>
    </row>
    <row r="48" spans="1:15" s="47" customFormat="1" ht="18" customHeight="1" thickBot="1" x14ac:dyDescent="0.3">
      <c r="A48" s="104"/>
      <c r="B48" s="29" t="s">
        <v>981</v>
      </c>
      <c r="C48" s="76">
        <v>0.37</v>
      </c>
      <c r="D48" s="77">
        <v>0.5</v>
      </c>
      <c r="E48" s="76">
        <v>3</v>
      </c>
      <c r="F48" s="77">
        <v>19</v>
      </c>
      <c r="G48" s="92" t="s">
        <v>299</v>
      </c>
      <c r="H48" s="194">
        <v>100602058</v>
      </c>
      <c r="I48" s="166">
        <v>423</v>
      </c>
      <c r="J48" s="213">
        <v>100588036</v>
      </c>
      <c r="K48" s="33">
        <v>493</v>
      </c>
      <c r="L48" s="76" t="s">
        <v>23</v>
      </c>
      <c r="M48" s="81">
        <v>2900</v>
      </c>
      <c r="N48" s="81">
        <v>21</v>
      </c>
      <c r="O48" s="82">
        <f>0.27*0.27*0.54</f>
        <v>3.9366000000000005E-2</v>
      </c>
    </row>
    <row r="49" spans="1:15" s="47" customFormat="1" ht="18" customHeight="1" thickBot="1" x14ac:dyDescent="0.3">
      <c r="A49" s="104"/>
      <c r="B49" s="29" t="s">
        <v>982</v>
      </c>
      <c r="C49" s="76">
        <v>0.37</v>
      </c>
      <c r="D49" s="77">
        <v>0.5</v>
      </c>
      <c r="E49" s="76">
        <v>3</v>
      </c>
      <c r="F49" s="77">
        <v>23</v>
      </c>
      <c r="G49" s="92" t="s">
        <v>299</v>
      </c>
      <c r="H49" s="194">
        <v>100602639</v>
      </c>
      <c r="I49" s="166">
        <v>454.1918481049824</v>
      </c>
      <c r="J49" s="213">
        <v>100588037</v>
      </c>
      <c r="K49" s="33">
        <v>525</v>
      </c>
      <c r="L49" s="76" t="s">
        <v>23</v>
      </c>
      <c r="M49" s="81">
        <v>2900</v>
      </c>
      <c r="N49" s="81">
        <v>21</v>
      </c>
      <c r="O49" s="82">
        <f>0.27*0.27*0.56</f>
        <v>4.0824000000000006E-2</v>
      </c>
    </row>
    <row r="50" spans="1:15" s="47" customFormat="1" ht="18" customHeight="1" thickBot="1" x14ac:dyDescent="0.3">
      <c r="A50" s="104"/>
      <c r="B50" s="29" t="s">
        <v>983</v>
      </c>
      <c r="C50" s="76">
        <v>0.55000000000000004</v>
      </c>
      <c r="D50" s="77">
        <v>0.75</v>
      </c>
      <c r="E50" s="76">
        <v>3</v>
      </c>
      <c r="F50" s="77">
        <v>28</v>
      </c>
      <c r="G50" s="92" t="s">
        <v>299</v>
      </c>
      <c r="H50" s="194">
        <v>100602640</v>
      </c>
      <c r="I50" s="166">
        <v>514</v>
      </c>
      <c r="J50" s="213">
        <v>100588038</v>
      </c>
      <c r="K50" s="33">
        <v>584</v>
      </c>
      <c r="L50" s="76" t="s">
        <v>23</v>
      </c>
      <c r="M50" s="81">
        <v>2900</v>
      </c>
      <c r="N50" s="81">
        <v>23</v>
      </c>
      <c r="O50" s="82">
        <f>0.27*0.27*0.58</f>
        <v>4.2282E-2</v>
      </c>
    </row>
    <row r="51" spans="1:15" s="47" customFormat="1" ht="18" customHeight="1" thickBot="1" x14ac:dyDescent="0.3">
      <c r="A51" s="104"/>
      <c r="B51" s="29" t="s">
        <v>984</v>
      </c>
      <c r="C51" s="76">
        <v>0.55000000000000004</v>
      </c>
      <c r="D51" s="77">
        <v>0.75</v>
      </c>
      <c r="E51" s="76">
        <v>3</v>
      </c>
      <c r="F51" s="77">
        <v>32</v>
      </c>
      <c r="G51" s="92" t="s">
        <v>299</v>
      </c>
      <c r="H51" s="194">
        <v>100601379</v>
      </c>
      <c r="I51" s="166">
        <v>532</v>
      </c>
      <c r="J51" s="213">
        <v>100588039</v>
      </c>
      <c r="K51" s="33">
        <v>600.44060764799997</v>
      </c>
      <c r="L51" s="76" t="s">
        <v>23</v>
      </c>
      <c r="M51" s="81">
        <v>2900</v>
      </c>
      <c r="N51" s="81">
        <v>24</v>
      </c>
      <c r="O51" s="82">
        <f>0.27*0.27*0.59</f>
        <v>4.3011000000000001E-2</v>
      </c>
    </row>
    <row r="52" spans="1:15" s="47" customFormat="1" ht="18" customHeight="1" thickBot="1" x14ac:dyDescent="0.3">
      <c r="A52" s="104"/>
      <c r="B52" s="29" t="s">
        <v>985</v>
      </c>
      <c r="C52" s="76">
        <v>0.75</v>
      </c>
      <c r="D52" s="77">
        <v>1</v>
      </c>
      <c r="E52" s="76">
        <v>3</v>
      </c>
      <c r="F52" s="77">
        <v>37</v>
      </c>
      <c r="G52" s="92" t="s">
        <v>299</v>
      </c>
      <c r="H52" s="194">
        <v>100601380</v>
      </c>
      <c r="I52" s="166">
        <v>591</v>
      </c>
      <c r="J52" s="213">
        <v>100588040</v>
      </c>
      <c r="K52" s="33">
        <v>660.56483404799985</v>
      </c>
      <c r="L52" s="76" t="s">
        <v>23</v>
      </c>
      <c r="M52" s="81">
        <v>2900</v>
      </c>
      <c r="N52" s="81">
        <v>27</v>
      </c>
      <c r="O52" s="82">
        <f>0.29*0.27*0.64</f>
        <v>5.0111999999999997E-2</v>
      </c>
    </row>
    <row r="53" spans="1:15" s="47" customFormat="1" ht="18" customHeight="1" thickBot="1" x14ac:dyDescent="0.3">
      <c r="A53" s="104"/>
      <c r="B53" s="29" t="s">
        <v>986</v>
      </c>
      <c r="C53" s="76">
        <v>0.75</v>
      </c>
      <c r="D53" s="77">
        <v>1</v>
      </c>
      <c r="E53" s="76">
        <v>3</v>
      </c>
      <c r="F53" s="77">
        <v>42</v>
      </c>
      <c r="G53" s="92" t="s">
        <v>299</v>
      </c>
      <c r="H53" s="194">
        <v>100602641</v>
      </c>
      <c r="I53" s="166">
        <v>614</v>
      </c>
      <c r="J53" s="213">
        <v>100588041</v>
      </c>
      <c r="K53" s="33">
        <v>684</v>
      </c>
      <c r="L53" s="76" t="s">
        <v>23</v>
      </c>
      <c r="M53" s="81">
        <v>2900</v>
      </c>
      <c r="N53" s="81">
        <v>28</v>
      </c>
      <c r="O53" s="82">
        <f>0.29*0.27*0.66</f>
        <v>5.1678000000000002E-2</v>
      </c>
    </row>
    <row r="54" spans="1:15" s="47" customFormat="1" ht="18" customHeight="1" thickBot="1" x14ac:dyDescent="0.3">
      <c r="A54" s="104"/>
      <c r="B54" s="29" t="s">
        <v>987</v>
      </c>
      <c r="C54" s="76">
        <v>0.75</v>
      </c>
      <c r="D54" s="77">
        <v>1</v>
      </c>
      <c r="E54" s="76">
        <v>3</v>
      </c>
      <c r="F54" s="77">
        <v>47</v>
      </c>
      <c r="G54" s="92" t="s">
        <v>299</v>
      </c>
      <c r="H54" s="194">
        <v>100602055</v>
      </c>
      <c r="I54" s="166">
        <v>650.09242069188497</v>
      </c>
      <c r="J54" s="213">
        <v>100588042</v>
      </c>
      <c r="K54" s="33">
        <v>719.13028420800003</v>
      </c>
      <c r="L54" s="76" t="s">
        <v>23</v>
      </c>
      <c r="M54" s="81">
        <v>2900</v>
      </c>
      <c r="N54" s="81">
        <v>28</v>
      </c>
      <c r="O54" s="82">
        <f>0.29*0.27*0.68</f>
        <v>5.3244E-2</v>
      </c>
    </row>
    <row r="55" spans="1:15" s="47" customFormat="1" ht="18" customHeight="1" thickBot="1" x14ac:dyDescent="0.3">
      <c r="A55" s="104"/>
      <c r="B55" s="29" t="s">
        <v>988</v>
      </c>
      <c r="C55" s="76">
        <v>1.1000000000000001</v>
      </c>
      <c r="D55" s="77">
        <v>1.5</v>
      </c>
      <c r="E55" s="76">
        <v>3</v>
      </c>
      <c r="F55" s="77">
        <v>51</v>
      </c>
      <c r="G55" s="92" t="s">
        <v>299</v>
      </c>
      <c r="H55" s="194">
        <v>100602642</v>
      </c>
      <c r="I55" s="166">
        <v>681.71083545358078</v>
      </c>
      <c r="J55" s="213">
        <v>100588043</v>
      </c>
      <c r="K55" s="33">
        <v>753</v>
      </c>
      <c r="L55" s="76" t="s">
        <v>23</v>
      </c>
      <c r="M55" s="81">
        <v>2900</v>
      </c>
      <c r="N55" s="81">
        <v>29</v>
      </c>
      <c r="O55" s="82">
        <f>0.29*0.27*0.7</f>
        <v>5.4809999999999991E-2</v>
      </c>
    </row>
    <row r="56" spans="1:15" s="47" customFormat="1" ht="18" customHeight="1" thickBot="1" x14ac:dyDescent="0.3">
      <c r="A56" s="104"/>
      <c r="B56" s="29" t="s">
        <v>989</v>
      </c>
      <c r="C56" s="76">
        <v>1.1000000000000001</v>
      </c>
      <c r="D56" s="77">
        <v>1.5</v>
      </c>
      <c r="E56" s="76">
        <v>3</v>
      </c>
      <c r="F56" s="77">
        <v>55</v>
      </c>
      <c r="G56" s="92" t="s">
        <v>299</v>
      </c>
      <c r="H56" s="194">
        <v>100602643</v>
      </c>
      <c r="I56" s="166">
        <v>703.88825876530575</v>
      </c>
      <c r="J56" s="213">
        <v>100588044</v>
      </c>
      <c r="K56" s="33">
        <v>775</v>
      </c>
      <c r="L56" s="76" t="s">
        <v>23</v>
      </c>
      <c r="M56" s="81">
        <v>2900</v>
      </c>
      <c r="N56" s="81">
        <v>30</v>
      </c>
      <c r="O56" s="82">
        <f>0.29*0.27*0.71</f>
        <v>5.5592999999999997E-2</v>
      </c>
    </row>
    <row r="57" spans="1:15" s="47" customFormat="1" ht="18" customHeight="1" thickBot="1" x14ac:dyDescent="0.3">
      <c r="A57" s="104"/>
      <c r="B57" s="29" t="s">
        <v>990</v>
      </c>
      <c r="C57" s="76">
        <v>1.1000000000000001</v>
      </c>
      <c r="D57" s="77">
        <v>1.5</v>
      </c>
      <c r="E57" s="76">
        <v>3</v>
      </c>
      <c r="F57" s="77">
        <v>60</v>
      </c>
      <c r="G57" s="92" t="s">
        <v>299</v>
      </c>
      <c r="H57" s="194">
        <v>100602644</v>
      </c>
      <c r="I57" s="166">
        <v>726.68914377655688</v>
      </c>
      <c r="J57" s="213">
        <v>100588045</v>
      </c>
      <c r="K57" s="33">
        <v>797</v>
      </c>
      <c r="L57" s="76" t="s">
        <v>23</v>
      </c>
      <c r="M57" s="81">
        <v>2900</v>
      </c>
      <c r="N57" s="81">
        <v>31</v>
      </c>
      <c r="O57" s="82">
        <f>0.29*0.27*0.73</f>
        <v>5.7158999999999995E-2</v>
      </c>
    </row>
    <row r="58" spans="1:15" s="47" customFormat="1" ht="18" customHeight="1" thickBot="1" x14ac:dyDescent="0.3">
      <c r="A58" s="104"/>
      <c r="B58" s="29" t="s">
        <v>991</v>
      </c>
      <c r="C58" s="76">
        <v>1.1000000000000001</v>
      </c>
      <c r="D58" s="77">
        <v>1.5</v>
      </c>
      <c r="E58" s="76">
        <v>3</v>
      </c>
      <c r="F58" s="77">
        <v>69</v>
      </c>
      <c r="G58" s="92" t="s">
        <v>299</v>
      </c>
      <c r="H58" s="194">
        <v>100602645</v>
      </c>
      <c r="I58" s="166">
        <v>819</v>
      </c>
      <c r="J58" s="213">
        <v>100588046</v>
      </c>
      <c r="K58" s="33">
        <v>887.83440984000003</v>
      </c>
      <c r="L58" s="76" t="s">
        <v>23</v>
      </c>
      <c r="M58" s="81">
        <v>2900</v>
      </c>
      <c r="N58" s="81">
        <v>32</v>
      </c>
      <c r="O58" s="82">
        <f>0.29*0.27*0.77</f>
        <v>6.0290999999999997E-2</v>
      </c>
    </row>
    <row r="59" spans="1:15" s="47" customFormat="1" ht="18" customHeight="1" thickBot="1" x14ac:dyDescent="0.3">
      <c r="A59" s="104"/>
      <c r="B59" s="29" t="s">
        <v>992</v>
      </c>
      <c r="C59" s="76">
        <v>1.5</v>
      </c>
      <c r="D59" s="77">
        <v>2</v>
      </c>
      <c r="E59" s="76">
        <v>3</v>
      </c>
      <c r="F59" s="77">
        <v>79</v>
      </c>
      <c r="G59" s="92" t="s">
        <v>299</v>
      </c>
      <c r="H59" s="194">
        <v>100602646</v>
      </c>
      <c r="I59" s="166">
        <v>857</v>
      </c>
      <c r="J59" s="213">
        <v>100588047</v>
      </c>
      <c r="K59" s="33">
        <v>925.82401363200006</v>
      </c>
      <c r="L59" s="76" t="s">
        <v>23</v>
      </c>
      <c r="M59" s="81">
        <v>2900</v>
      </c>
      <c r="N59" s="81">
        <v>38</v>
      </c>
      <c r="O59" s="82">
        <f>0.3*0.27*0.86</f>
        <v>6.966E-2</v>
      </c>
    </row>
    <row r="60" spans="1:15" s="47" customFormat="1" ht="18" customHeight="1" thickBot="1" x14ac:dyDescent="0.3">
      <c r="A60" s="104"/>
      <c r="B60" s="29" t="s">
        <v>993</v>
      </c>
      <c r="C60" s="76">
        <v>1.5</v>
      </c>
      <c r="D60" s="77">
        <v>2</v>
      </c>
      <c r="E60" s="76">
        <v>3</v>
      </c>
      <c r="F60" s="77">
        <v>88</v>
      </c>
      <c r="G60" s="92" t="s">
        <v>299</v>
      </c>
      <c r="H60" s="194">
        <v>100602647</v>
      </c>
      <c r="I60" s="166">
        <v>903.57413452790399</v>
      </c>
      <c r="J60" s="213">
        <v>100588048</v>
      </c>
      <c r="K60" s="33">
        <v>973</v>
      </c>
      <c r="L60" s="76" t="s">
        <v>23</v>
      </c>
      <c r="M60" s="81">
        <v>2900</v>
      </c>
      <c r="N60" s="81">
        <v>39</v>
      </c>
      <c r="O60" s="82">
        <f>0.3*0.27*0.89</f>
        <v>7.2090000000000001E-2</v>
      </c>
    </row>
    <row r="61" spans="1:15" s="47" customFormat="1" ht="18" customHeight="1" thickBot="1" x14ac:dyDescent="0.3">
      <c r="A61" s="104"/>
      <c r="B61" s="29" t="s">
        <v>1112</v>
      </c>
      <c r="C61" s="76">
        <v>2.2000000000000002</v>
      </c>
      <c r="D61" s="77">
        <v>3</v>
      </c>
      <c r="E61" s="76">
        <v>3</v>
      </c>
      <c r="F61" s="77">
        <v>98</v>
      </c>
      <c r="G61" s="92" t="s">
        <v>299</v>
      </c>
      <c r="H61" s="194">
        <v>100602648</v>
      </c>
      <c r="I61" s="166">
        <v>968.81494808548803</v>
      </c>
      <c r="J61" s="213">
        <v>100588049</v>
      </c>
      <c r="K61" s="33">
        <v>1039</v>
      </c>
      <c r="L61" s="76" t="s">
        <v>23</v>
      </c>
      <c r="M61" s="81">
        <v>2900</v>
      </c>
      <c r="N61" s="81">
        <v>42</v>
      </c>
      <c r="O61" s="82">
        <f>0.3*0.27*0.93</f>
        <v>7.5330000000000008E-2</v>
      </c>
    </row>
    <row r="62" spans="1:15" s="47" customFormat="1" ht="18" customHeight="1" thickBot="1" x14ac:dyDescent="0.3">
      <c r="A62" s="104"/>
      <c r="B62" s="29" t="s">
        <v>1113</v>
      </c>
      <c r="C62" s="76">
        <v>2.2000000000000002</v>
      </c>
      <c r="D62" s="77">
        <v>3</v>
      </c>
      <c r="E62" s="76">
        <v>3</v>
      </c>
      <c r="F62" s="77">
        <v>107</v>
      </c>
      <c r="G62" s="92" t="s">
        <v>299</v>
      </c>
      <c r="H62" s="194">
        <v>100602649</v>
      </c>
      <c r="I62" s="166">
        <v>1023.5459787081985</v>
      </c>
      <c r="J62" s="213">
        <v>100588050</v>
      </c>
      <c r="K62" s="33">
        <v>1095</v>
      </c>
      <c r="L62" s="76" t="s">
        <v>23</v>
      </c>
      <c r="M62" s="81">
        <v>2900</v>
      </c>
      <c r="N62" s="81">
        <v>43</v>
      </c>
      <c r="O62" s="82">
        <f>0.3*0.27*0.97</f>
        <v>7.8570000000000001E-2</v>
      </c>
    </row>
    <row r="63" spans="1:15" s="47" customFormat="1" ht="18" customHeight="1" thickBot="1" x14ac:dyDescent="0.3">
      <c r="A63" s="104"/>
      <c r="B63" s="29" t="s">
        <v>1114</v>
      </c>
      <c r="C63" s="76">
        <v>2.2000000000000002</v>
      </c>
      <c r="D63" s="77">
        <v>3</v>
      </c>
      <c r="E63" s="76">
        <v>3</v>
      </c>
      <c r="F63" s="77">
        <v>116</v>
      </c>
      <c r="G63" s="92" t="s">
        <v>299</v>
      </c>
      <c r="H63" s="194">
        <v>100602650</v>
      </c>
      <c r="I63" s="166">
        <v>1080.1919274080258</v>
      </c>
      <c r="J63" s="213">
        <v>100588051</v>
      </c>
      <c r="K63" s="33">
        <v>1151</v>
      </c>
      <c r="L63" s="76" t="s">
        <v>23</v>
      </c>
      <c r="M63" s="81">
        <v>2900</v>
      </c>
      <c r="N63" s="81">
        <v>44</v>
      </c>
      <c r="O63" s="82">
        <f>0.3*0.27*1</f>
        <v>8.1000000000000003E-2</v>
      </c>
    </row>
    <row r="64" spans="1:15" s="47" customFormat="1" ht="18" customHeight="1" thickBot="1" x14ac:dyDescent="0.3">
      <c r="A64" s="104"/>
      <c r="B64" s="29" t="s">
        <v>1115</v>
      </c>
      <c r="C64" s="76">
        <v>2.2000000000000002</v>
      </c>
      <c r="D64" s="77">
        <v>3</v>
      </c>
      <c r="E64" s="76">
        <v>3</v>
      </c>
      <c r="F64" s="77">
        <v>124</v>
      </c>
      <c r="G64" s="92" t="s">
        <v>299</v>
      </c>
      <c r="H64" s="194">
        <v>100602651</v>
      </c>
      <c r="I64" s="166">
        <v>1149.841505840832</v>
      </c>
      <c r="J64" s="213">
        <v>100588052</v>
      </c>
      <c r="K64" s="33">
        <v>1219.2302384639997</v>
      </c>
      <c r="L64" s="76" t="s">
        <v>23</v>
      </c>
      <c r="M64" s="81">
        <v>2900</v>
      </c>
      <c r="N64" s="81">
        <v>45</v>
      </c>
      <c r="O64" s="82">
        <f>0.3*0.27*1.04</f>
        <v>8.4240000000000009E-2</v>
      </c>
    </row>
    <row r="65" spans="1:15" s="47" customFormat="1" ht="18" customHeight="1" thickBot="1" x14ac:dyDescent="0.3">
      <c r="A65" s="104"/>
      <c r="B65" s="29" t="s">
        <v>1116</v>
      </c>
      <c r="C65" s="76">
        <v>2.2000000000000002</v>
      </c>
      <c r="D65" s="77">
        <v>3</v>
      </c>
      <c r="E65" s="76">
        <v>3</v>
      </c>
      <c r="F65" s="77">
        <v>133</v>
      </c>
      <c r="G65" s="92" t="s">
        <v>299</v>
      </c>
      <c r="H65" s="194">
        <v>100602652</v>
      </c>
      <c r="I65" s="166">
        <v>1274.2221148963488</v>
      </c>
      <c r="J65" s="213">
        <v>100588053</v>
      </c>
      <c r="K65" s="33">
        <v>1344</v>
      </c>
      <c r="L65" s="76" t="s">
        <v>23</v>
      </c>
      <c r="M65" s="81">
        <v>2900</v>
      </c>
      <c r="N65" s="81">
        <v>46</v>
      </c>
      <c r="O65" s="82">
        <f>0.3*0.27*1.07</f>
        <v>8.6670000000000011E-2</v>
      </c>
    </row>
    <row r="66" spans="1:15" s="47" customFormat="1" ht="18" customHeight="1" thickBot="1" x14ac:dyDescent="0.3">
      <c r="A66" s="104"/>
      <c r="B66" s="29" t="s">
        <v>1117</v>
      </c>
      <c r="C66" s="76">
        <v>3</v>
      </c>
      <c r="D66" s="77">
        <v>4</v>
      </c>
      <c r="E66" s="76">
        <v>3</v>
      </c>
      <c r="F66" s="77">
        <v>142</v>
      </c>
      <c r="G66" s="92" t="s">
        <v>299</v>
      </c>
      <c r="H66" s="194">
        <v>100602653</v>
      </c>
      <c r="I66" s="166">
        <v>1391.6110463214625</v>
      </c>
      <c r="J66" s="213">
        <v>100588054</v>
      </c>
      <c r="K66" s="33">
        <v>1463</v>
      </c>
      <c r="L66" s="76" t="s">
        <v>23</v>
      </c>
      <c r="M66" s="81">
        <v>2900</v>
      </c>
      <c r="N66" s="81">
        <v>54</v>
      </c>
      <c r="O66" s="82">
        <f>0.31*0.27*1.18</f>
        <v>9.8766000000000007E-2</v>
      </c>
    </row>
    <row r="67" spans="1:15" s="47" customFormat="1" ht="18" customHeight="1" thickBot="1" x14ac:dyDescent="0.3">
      <c r="A67" s="104"/>
      <c r="B67" s="29" t="s">
        <v>1118</v>
      </c>
      <c r="C67" s="76">
        <v>3</v>
      </c>
      <c r="D67" s="77">
        <v>4</v>
      </c>
      <c r="E67" s="76">
        <v>3</v>
      </c>
      <c r="F67" s="77">
        <v>151</v>
      </c>
      <c r="G67" s="92" t="s">
        <v>299</v>
      </c>
      <c r="H67" s="194">
        <v>100602654</v>
      </c>
      <c r="I67" s="166">
        <v>1470.1226874832512</v>
      </c>
      <c r="J67" s="213">
        <v>100588055</v>
      </c>
      <c r="K67" s="33">
        <v>1542</v>
      </c>
      <c r="L67" s="76" t="s">
        <v>23</v>
      </c>
      <c r="M67" s="81">
        <v>2900</v>
      </c>
      <c r="N67" s="81">
        <v>55</v>
      </c>
      <c r="O67" s="82">
        <f>0.31*0.27*1.21</f>
        <v>0.10127700000000001</v>
      </c>
    </row>
    <row r="68" spans="1:15" s="47" customFormat="1" ht="18" customHeight="1" thickBot="1" x14ac:dyDescent="0.3">
      <c r="A68" s="104"/>
      <c r="B68" s="29" t="s">
        <v>1119</v>
      </c>
      <c r="C68" s="76">
        <v>3</v>
      </c>
      <c r="D68" s="77">
        <v>4</v>
      </c>
      <c r="E68" s="76">
        <v>3</v>
      </c>
      <c r="F68" s="77">
        <v>168</v>
      </c>
      <c r="G68" s="92" t="s">
        <v>299</v>
      </c>
      <c r="H68" s="194">
        <v>100602057</v>
      </c>
      <c r="I68" s="166">
        <v>1592.9446422899521</v>
      </c>
      <c r="J68" s="213">
        <v>100588056</v>
      </c>
      <c r="K68" s="33">
        <v>1663.3033210079998</v>
      </c>
      <c r="L68" s="76" t="s">
        <v>23</v>
      </c>
      <c r="M68" s="81">
        <v>2900</v>
      </c>
      <c r="N68" s="81">
        <v>57</v>
      </c>
      <c r="O68" s="82">
        <f>0.31*0.27*1.27</f>
        <v>0.10629900000000002</v>
      </c>
    </row>
    <row r="69" spans="1:15" s="47" customFormat="1" ht="18" customHeight="1" thickBot="1" x14ac:dyDescent="0.3">
      <c r="A69" s="104"/>
      <c r="B69" s="29" t="s">
        <v>1120</v>
      </c>
      <c r="C69" s="76">
        <v>0.37</v>
      </c>
      <c r="D69" s="77">
        <v>0.5</v>
      </c>
      <c r="E69" s="76">
        <v>4</v>
      </c>
      <c r="F69" s="77">
        <v>15</v>
      </c>
      <c r="G69" s="92" t="s">
        <v>300</v>
      </c>
      <c r="H69" s="194">
        <v>100602655</v>
      </c>
      <c r="I69" s="166">
        <v>447.51190132434243</v>
      </c>
      <c r="J69" s="213">
        <v>100588057</v>
      </c>
      <c r="K69" s="33">
        <v>535</v>
      </c>
      <c r="L69" s="76" t="s">
        <v>23</v>
      </c>
      <c r="M69" s="81">
        <v>2900</v>
      </c>
      <c r="N69" s="81">
        <v>21</v>
      </c>
      <c r="O69" s="82">
        <f>0.27*0.27*0.52</f>
        <v>3.7908000000000004E-2</v>
      </c>
    </row>
    <row r="70" spans="1:15" s="47" customFormat="1" ht="18" customHeight="1" thickBot="1" x14ac:dyDescent="0.3">
      <c r="A70" s="104"/>
      <c r="B70" s="29" t="s">
        <v>1121</v>
      </c>
      <c r="C70" s="76">
        <v>0.55000000000000004</v>
      </c>
      <c r="D70" s="77">
        <v>0.75</v>
      </c>
      <c r="E70" s="76">
        <v>4</v>
      </c>
      <c r="F70" s="77">
        <v>24</v>
      </c>
      <c r="G70" s="92" t="s">
        <v>300</v>
      </c>
      <c r="H70" s="194">
        <v>100602656</v>
      </c>
      <c r="I70" s="166">
        <v>464</v>
      </c>
      <c r="J70" s="213">
        <v>100588058</v>
      </c>
      <c r="K70" s="33">
        <v>552</v>
      </c>
      <c r="L70" s="76" t="s">
        <v>23</v>
      </c>
      <c r="M70" s="81">
        <v>2900</v>
      </c>
      <c r="N70" s="81">
        <v>22</v>
      </c>
      <c r="O70" s="82">
        <f>0.27*0.27*0.55</f>
        <v>4.0095000000000006E-2</v>
      </c>
    </row>
    <row r="71" spans="1:15" s="47" customFormat="1" ht="18" customHeight="1" thickBot="1" x14ac:dyDescent="0.3">
      <c r="A71" s="104"/>
      <c r="B71" s="29" t="s">
        <v>1122</v>
      </c>
      <c r="C71" s="76">
        <v>0.75</v>
      </c>
      <c r="D71" s="77">
        <v>1</v>
      </c>
      <c r="E71" s="76">
        <v>4</v>
      </c>
      <c r="F71" s="77">
        <v>32</v>
      </c>
      <c r="G71" s="92" t="s">
        <v>300</v>
      </c>
      <c r="H71" s="194">
        <v>100602657</v>
      </c>
      <c r="I71" s="166">
        <v>489.95182987067528</v>
      </c>
      <c r="J71" s="213">
        <v>100588059</v>
      </c>
      <c r="K71" s="33">
        <v>577.63793808000003</v>
      </c>
      <c r="L71" s="76" t="s">
        <v>23</v>
      </c>
      <c r="M71" s="81">
        <v>2900</v>
      </c>
      <c r="N71" s="81">
        <v>25</v>
      </c>
      <c r="O71" s="82">
        <f>0.29*0.27*0.61</f>
        <v>4.7762999999999993E-2</v>
      </c>
    </row>
    <row r="72" spans="1:15" s="47" customFormat="1" ht="18" customHeight="1" thickBot="1" x14ac:dyDescent="0.3">
      <c r="A72" s="104"/>
      <c r="B72" s="29" t="s">
        <v>1123</v>
      </c>
      <c r="C72" s="76">
        <v>1.1000000000000001</v>
      </c>
      <c r="D72" s="77">
        <v>1.5</v>
      </c>
      <c r="E72" s="76">
        <v>4</v>
      </c>
      <c r="F72" s="77">
        <v>40</v>
      </c>
      <c r="G72" s="92" t="s">
        <v>300</v>
      </c>
      <c r="H72" s="194">
        <v>100601381</v>
      </c>
      <c r="I72" s="166">
        <v>515</v>
      </c>
      <c r="J72" s="213">
        <v>100588060</v>
      </c>
      <c r="K72" s="33">
        <v>601.68762863999996</v>
      </c>
      <c r="L72" s="76" t="s">
        <v>23</v>
      </c>
      <c r="M72" s="81">
        <v>2900</v>
      </c>
      <c r="N72" s="81">
        <v>27</v>
      </c>
      <c r="O72" s="82">
        <f>0.29*0.27*0.63</f>
        <v>4.9328999999999998E-2</v>
      </c>
    </row>
    <row r="73" spans="1:15" s="47" customFormat="1" ht="18" customHeight="1" thickBot="1" x14ac:dyDescent="0.3">
      <c r="A73" s="104"/>
      <c r="B73" s="29" t="s">
        <v>1124</v>
      </c>
      <c r="C73" s="76">
        <v>1.1000000000000001</v>
      </c>
      <c r="D73" s="77">
        <v>1.5</v>
      </c>
      <c r="E73" s="76">
        <v>4</v>
      </c>
      <c r="F73" s="77">
        <v>48</v>
      </c>
      <c r="G73" s="92" t="s">
        <v>300</v>
      </c>
      <c r="H73" s="194">
        <v>100601382</v>
      </c>
      <c r="I73" s="166">
        <v>526</v>
      </c>
      <c r="J73" s="213">
        <v>100588061</v>
      </c>
      <c r="K73" s="33">
        <v>614</v>
      </c>
      <c r="L73" s="76" t="s">
        <v>23</v>
      </c>
      <c r="M73" s="81">
        <v>2900</v>
      </c>
      <c r="N73" s="81">
        <v>27</v>
      </c>
      <c r="O73" s="82">
        <f>0.29*0.27*0.66</f>
        <v>5.1678000000000002E-2</v>
      </c>
    </row>
    <row r="74" spans="1:15" s="47" customFormat="1" ht="18" customHeight="1" thickBot="1" x14ac:dyDescent="0.3">
      <c r="A74" s="104"/>
      <c r="B74" s="29" t="s">
        <v>1125</v>
      </c>
      <c r="C74" s="76">
        <v>1.5</v>
      </c>
      <c r="D74" s="77">
        <v>2</v>
      </c>
      <c r="E74" s="76">
        <v>4</v>
      </c>
      <c r="F74" s="77">
        <v>56</v>
      </c>
      <c r="G74" s="92" t="s">
        <v>300</v>
      </c>
      <c r="H74" s="194">
        <v>100601383</v>
      </c>
      <c r="I74" s="166">
        <v>584</v>
      </c>
      <c r="J74" s="213">
        <v>100588062</v>
      </c>
      <c r="K74" s="33">
        <v>670.09563734399978</v>
      </c>
      <c r="L74" s="76" t="s">
        <v>23</v>
      </c>
      <c r="M74" s="81">
        <v>2900</v>
      </c>
      <c r="N74" s="81">
        <v>33</v>
      </c>
      <c r="O74" s="82">
        <f>0.3*0.27*0.74</f>
        <v>5.994E-2</v>
      </c>
    </row>
    <row r="75" spans="1:15" s="47" customFormat="1" ht="18" customHeight="1" thickBot="1" x14ac:dyDescent="0.3">
      <c r="A75" s="104"/>
      <c r="B75" s="29" t="s">
        <v>1126</v>
      </c>
      <c r="C75" s="76">
        <v>1.5</v>
      </c>
      <c r="D75" s="77">
        <v>2</v>
      </c>
      <c r="E75" s="76">
        <v>4</v>
      </c>
      <c r="F75" s="77">
        <v>64</v>
      </c>
      <c r="G75" s="92" t="s">
        <v>300</v>
      </c>
      <c r="H75" s="194">
        <v>100601384</v>
      </c>
      <c r="I75" s="166">
        <v>593.75820284182078</v>
      </c>
      <c r="J75" s="213">
        <v>100588063</v>
      </c>
      <c r="K75" s="33">
        <v>683</v>
      </c>
      <c r="L75" s="76" t="s">
        <v>23</v>
      </c>
      <c r="M75" s="81">
        <v>2900</v>
      </c>
      <c r="N75" s="81">
        <v>33</v>
      </c>
      <c r="O75" s="82">
        <f>0.3*0.27*0.77</f>
        <v>6.2370000000000002E-2</v>
      </c>
    </row>
    <row r="76" spans="1:15" s="47" customFormat="1" ht="18" customHeight="1" thickBot="1" x14ac:dyDescent="0.3">
      <c r="A76" s="104"/>
      <c r="B76" s="29" t="s">
        <v>1127</v>
      </c>
      <c r="C76" s="76">
        <v>2.2000000000000002</v>
      </c>
      <c r="D76" s="77">
        <v>3</v>
      </c>
      <c r="E76" s="76">
        <v>4</v>
      </c>
      <c r="F76" s="77">
        <v>81</v>
      </c>
      <c r="G76" s="92" t="s">
        <v>300</v>
      </c>
      <c r="H76" s="194">
        <v>100601385</v>
      </c>
      <c r="I76" s="166">
        <v>661</v>
      </c>
      <c r="J76" s="213">
        <v>100588064</v>
      </c>
      <c r="K76" s="33">
        <v>748.88064215999998</v>
      </c>
      <c r="L76" s="76" t="s">
        <v>23</v>
      </c>
      <c r="M76" s="81">
        <v>2900</v>
      </c>
      <c r="N76" s="81">
        <v>37</v>
      </c>
      <c r="O76" s="82">
        <f>0.3*0.27*0.82</f>
        <v>6.6419999999999993E-2</v>
      </c>
    </row>
    <row r="77" spans="1:15" s="47" customFormat="1" ht="18" customHeight="1" thickBot="1" x14ac:dyDescent="0.3">
      <c r="A77" s="104"/>
      <c r="B77" s="29" t="s">
        <v>1128</v>
      </c>
      <c r="C77" s="76">
        <v>2.2000000000000002</v>
      </c>
      <c r="D77" s="77">
        <v>3</v>
      </c>
      <c r="E77" s="76">
        <v>4</v>
      </c>
      <c r="F77" s="77">
        <v>95</v>
      </c>
      <c r="G77" s="92" t="s">
        <v>300</v>
      </c>
      <c r="H77" s="194">
        <v>100601386</v>
      </c>
      <c r="I77" s="166">
        <v>689</v>
      </c>
      <c r="J77" s="213">
        <v>100588065</v>
      </c>
      <c r="K77" s="33">
        <v>775.15715592000004</v>
      </c>
      <c r="L77" s="76" t="s">
        <v>23</v>
      </c>
      <c r="M77" s="81">
        <v>2900</v>
      </c>
      <c r="N77" s="81">
        <v>38</v>
      </c>
      <c r="O77" s="82">
        <f>0.3*0.27*0.88</f>
        <v>7.1279999999999996E-2</v>
      </c>
    </row>
    <row r="78" spans="1:15" s="47" customFormat="1" ht="18" customHeight="1" thickBot="1" x14ac:dyDescent="0.3">
      <c r="A78" s="104"/>
      <c r="B78" s="29" t="s">
        <v>1129</v>
      </c>
      <c r="C78" s="76">
        <v>3</v>
      </c>
      <c r="D78" s="77">
        <v>4</v>
      </c>
      <c r="E78" s="76">
        <v>4</v>
      </c>
      <c r="F78" s="77">
        <v>112</v>
      </c>
      <c r="G78" s="92" t="s">
        <v>300</v>
      </c>
      <c r="H78" s="194">
        <v>100601387</v>
      </c>
      <c r="I78" s="166">
        <v>798.83256900746892</v>
      </c>
      <c r="J78" s="213">
        <v>100588066</v>
      </c>
      <c r="K78" s="33">
        <v>887.83440984000003</v>
      </c>
      <c r="L78" s="76" t="s">
        <v>23</v>
      </c>
      <c r="M78" s="81">
        <v>2900</v>
      </c>
      <c r="N78" s="81">
        <v>46</v>
      </c>
      <c r="O78" s="82">
        <f>0.31*0.27*1</f>
        <v>8.3700000000000011E-2</v>
      </c>
    </row>
    <row r="79" spans="1:15" s="47" customFormat="1" ht="18" customHeight="1" thickBot="1" x14ac:dyDescent="0.3">
      <c r="A79" s="104"/>
      <c r="B79" s="29" t="s">
        <v>1130</v>
      </c>
      <c r="C79" s="76">
        <v>3</v>
      </c>
      <c r="D79" s="77">
        <v>4</v>
      </c>
      <c r="E79" s="76">
        <v>4</v>
      </c>
      <c r="F79" s="77">
        <v>129</v>
      </c>
      <c r="G79" s="92" t="s">
        <v>300</v>
      </c>
      <c r="H79" s="194">
        <v>100602059</v>
      </c>
      <c r="I79" s="166">
        <v>825</v>
      </c>
      <c r="J79" s="213">
        <v>100588067</v>
      </c>
      <c r="K79" s="33">
        <v>911.88410039999985</v>
      </c>
      <c r="L79" s="76" t="s">
        <v>23</v>
      </c>
      <c r="M79" s="81">
        <v>2900</v>
      </c>
      <c r="N79" s="81">
        <v>48</v>
      </c>
      <c r="O79" s="82">
        <f>0.31*0.27*1.05</f>
        <v>8.7885000000000019E-2</v>
      </c>
    </row>
    <row r="80" spans="1:15" s="47" customFormat="1" ht="18" customHeight="1" thickBot="1" x14ac:dyDescent="0.3">
      <c r="A80" s="104"/>
      <c r="B80" s="29" t="s">
        <v>1131</v>
      </c>
      <c r="C80" s="76">
        <v>4</v>
      </c>
      <c r="D80" s="77">
        <v>5.5</v>
      </c>
      <c r="E80" s="76">
        <v>4</v>
      </c>
      <c r="F80" s="77">
        <v>153</v>
      </c>
      <c r="G80" s="92" t="s">
        <v>300</v>
      </c>
      <c r="H80" s="194">
        <v>100601388</v>
      </c>
      <c r="I80" s="166">
        <v>924</v>
      </c>
      <c r="J80" s="213">
        <v>100588068</v>
      </c>
      <c r="K80" s="33">
        <v>1011.6012432959999</v>
      </c>
      <c r="L80" s="76" t="s">
        <v>23</v>
      </c>
      <c r="M80" s="81">
        <v>2900</v>
      </c>
      <c r="N80" s="81">
        <v>57</v>
      </c>
      <c r="O80" s="82">
        <f>0.33*0.27*1.14</f>
        <v>0.10157400000000001</v>
      </c>
    </row>
    <row r="81" spans="1:15" s="47" customFormat="1" ht="18" customHeight="1" thickBot="1" x14ac:dyDescent="0.3">
      <c r="A81" s="104"/>
      <c r="B81" s="29" t="s">
        <v>1132</v>
      </c>
      <c r="C81" s="76">
        <v>4</v>
      </c>
      <c r="D81" s="77">
        <v>5.5</v>
      </c>
      <c r="E81" s="76">
        <v>4</v>
      </c>
      <c r="F81" s="77">
        <v>178</v>
      </c>
      <c r="G81" s="92" t="s">
        <v>300</v>
      </c>
      <c r="H81" s="194">
        <v>100601389</v>
      </c>
      <c r="I81" s="166">
        <v>963.11472683267527</v>
      </c>
      <c r="J81" s="213">
        <v>100588069</v>
      </c>
      <c r="K81" s="33">
        <v>1051.1496233279997</v>
      </c>
      <c r="L81" s="76" t="s">
        <v>23</v>
      </c>
      <c r="M81" s="81">
        <v>2900</v>
      </c>
      <c r="N81" s="81">
        <v>59</v>
      </c>
      <c r="O81" s="82">
        <f>0.33*0.27*1.22</f>
        <v>0.10870200000000001</v>
      </c>
    </row>
    <row r="82" spans="1:15" s="47" customFormat="1" ht="18" customHeight="1" thickBot="1" x14ac:dyDescent="0.3">
      <c r="A82" s="104"/>
      <c r="B82" s="39" t="s">
        <v>1133</v>
      </c>
      <c r="C82" s="76">
        <v>0.75</v>
      </c>
      <c r="D82" s="77">
        <v>1</v>
      </c>
      <c r="E82" s="76">
        <v>8</v>
      </c>
      <c r="F82" s="77">
        <v>9</v>
      </c>
      <c r="G82" s="92" t="s">
        <v>301</v>
      </c>
      <c r="H82" s="194">
        <v>100602658</v>
      </c>
      <c r="I82" s="166">
        <v>564.63363487823051</v>
      </c>
      <c r="J82" s="211"/>
      <c r="K82" s="41">
        <v>740.01788582400002</v>
      </c>
      <c r="L82" s="76" t="s">
        <v>23</v>
      </c>
      <c r="M82" s="81">
        <v>2900</v>
      </c>
      <c r="N82" s="81">
        <v>32</v>
      </c>
      <c r="O82" s="82">
        <f>0.3*0.31*0.61</f>
        <v>5.6729999999999996E-2</v>
      </c>
    </row>
    <row r="83" spans="1:15" s="47" customFormat="1" ht="18" customHeight="1" thickBot="1" x14ac:dyDescent="0.3">
      <c r="A83" s="104"/>
      <c r="B83" s="29" t="s">
        <v>1134</v>
      </c>
      <c r="C83" s="76">
        <v>0.75</v>
      </c>
      <c r="D83" s="77">
        <v>1</v>
      </c>
      <c r="E83" s="76">
        <v>8</v>
      </c>
      <c r="F83" s="77">
        <v>18</v>
      </c>
      <c r="G83" s="92" t="s">
        <v>301</v>
      </c>
      <c r="H83" s="194">
        <v>100602659</v>
      </c>
      <c r="I83" s="166">
        <v>564.63363487823051</v>
      </c>
      <c r="J83" s="213">
        <v>100588070</v>
      </c>
      <c r="K83" s="33">
        <v>740.01788582400002</v>
      </c>
      <c r="L83" s="76" t="s">
        <v>23</v>
      </c>
      <c r="M83" s="81">
        <v>2900</v>
      </c>
      <c r="N83" s="81">
        <v>32</v>
      </c>
      <c r="O83" s="82">
        <f>0.3*0.31*0.61</f>
        <v>5.6729999999999996E-2</v>
      </c>
    </row>
    <row r="84" spans="1:15" s="47" customFormat="1" ht="18" customHeight="1" thickBot="1" x14ac:dyDescent="0.3">
      <c r="A84" s="104"/>
      <c r="B84" s="29" t="s">
        <v>1135</v>
      </c>
      <c r="C84" s="76">
        <v>1.1000000000000001</v>
      </c>
      <c r="D84" s="77">
        <v>1.5</v>
      </c>
      <c r="E84" s="76">
        <v>8</v>
      </c>
      <c r="F84" s="77">
        <v>27</v>
      </c>
      <c r="G84" s="92" t="s">
        <v>301</v>
      </c>
      <c r="H84" s="194">
        <v>100602660</v>
      </c>
      <c r="I84" s="166">
        <v>648.80096431429433</v>
      </c>
      <c r="J84" s="213">
        <v>100588071</v>
      </c>
      <c r="K84" s="33">
        <v>778</v>
      </c>
      <c r="L84" s="76" t="s">
        <v>23</v>
      </c>
      <c r="M84" s="81">
        <v>2900</v>
      </c>
      <c r="N84" s="81">
        <v>34</v>
      </c>
      <c r="O84" s="82">
        <f>0.3*0.31*0.64</f>
        <v>5.9520000000000003E-2</v>
      </c>
    </row>
    <row r="85" spans="1:15" s="47" customFormat="1" ht="18" customHeight="1" thickBot="1" x14ac:dyDescent="0.3">
      <c r="A85" s="104"/>
      <c r="B85" s="29" t="s">
        <v>1136</v>
      </c>
      <c r="C85" s="76">
        <v>1.5</v>
      </c>
      <c r="D85" s="77">
        <v>2</v>
      </c>
      <c r="E85" s="76">
        <v>8</v>
      </c>
      <c r="F85" s="77">
        <v>36</v>
      </c>
      <c r="G85" s="92" t="s">
        <v>301</v>
      </c>
      <c r="H85" s="194">
        <v>100602661</v>
      </c>
      <c r="I85" s="166">
        <v>715.60043212069445</v>
      </c>
      <c r="J85" s="213">
        <v>100588072</v>
      </c>
      <c r="K85" s="33">
        <v>844</v>
      </c>
      <c r="L85" s="76" t="s">
        <v>23</v>
      </c>
      <c r="M85" s="81">
        <v>2900</v>
      </c>
      <c r="N85" s="81">
        <v>40</v>
      </c>
      <c r="O85" s="82">
        <f>0.32*0.31*0.73</f>
        <v>7.2415999999999994E-2</v>
      </c>
    </row>
    <row r="86" spans="1:15" s="47" customFormat="1" ht="18" customHeight="1" thickBot="1" x14ac:dyDescent="0.3">
      <c r="A86" s="104"/>
      <c r="B86" s="29" t="s">
        <v>1137</v>
      </c>
      <c r="C86" s="76">
        <v>2.2000000000000002</v>
      </c>
      <c r="D86" s="77">
        <v>3</v>
      </c>
      <c r="E86" s="76">
        <v>8</v>
      </c>
      <c r="F86" s="77">
        <v>45</v>
      </c>
      <c r="G86" s="92" t="s">
        <v>301</v>
      </c>
      <c r="H86" s="194">
        <v>100602662</v>
      </c>
      <c r="I86" s="166">
        <v>764.987505318893</v>
      </c>
      <c r="J86" s="213">
        <v>100588073</v>
      </c>
      <c r="K86" s="33">
        <v>892.599811488</v>
      </c>
      <c r="L86" s="76" t="s">
        <v>23</v>
      </c>
      <c r="M86" s="81">
        <v>2900</v>
      </c>
      <c r="N86" s="81">
        <v>44</v>
      </c>
      <c r="O86" s="82">
        <f>0.32*0.31*0.76</f>
        <v>7.5392000000000001E-2</v>
      </c>
    </row>
    <row r="87" spans="1:15" s="47" customFormat="1" ht="18" customHeight="1" thickBot="1" x14ac:dyDescent="0.3">
      <c r="A87" s="104"/>
      <c r="B87" s="29" t="s">
        <v>1138</v>
      </c>
      <c r="C87" s="76">
        <v>2.2000000000000002</v>
      </c>
      <c r="D87" s="77">
        <v>3</v>
      </c>
      <c r="E87" s="76">
        <v>8</v>
      </c>
      <c r="F87" s="77">
        <v>54</v>
      </c>
      <c r="G87" s="92" t="s">
        <v>301</v>
      </c>
      <c r="H87" s="194">
        <v>100602663</v>
      </c>
      <c r="I87" s="166">
        <v>786.49693395255349</v>
      </c>
      <c r="J87" s="213">
        <v>100588074</v>
      </c>
      <c r="K87" s="33">
        <v>913.17565785600004</v>
      </c>
      <c r="L87" s="76" t="s">
        <v>23</v>
      </c>
      <c r="M87" s="81">
        <v>2900</v>
      </c>
      <c r="N87" s="81">
        <v>45</v>
      </c>
      <c r="O87" s="82">
        <f>0.32*0.31*0.79</f>
        <v>7.8368000000000007E-2</v>
      </c>
    </row>
    <row r="88" spans="1:15" s="47" customFormat="1" ht="18" customHeight="1" thickBot="1" x14ac:dyDescent="0.3">
      <c r="A88" s="104"/>
      <c r="B88" s="29" t="s">
        <v>1139</v>
      </c>
      <c r="C88" s="76">
        <v>3</v>
      </c>
      <c r="D88" s="77">
        <v>4</v>
      </c>
      <c r="E88" s="76">
        <v>8</v>
      </c>
      <c r="F88" s="77">
        <v>73</v>
      </c>
      <c r="G88" s="92" t="s">
        <v>301</v>
      </c>
      <c r="H88" s="194">
        <v>100602664</v>
      </c>
      <c r="I88" s="166">
        <v>946</v>
      </c>
      <c r="J88" s="213">
        <v>100588075</v>
      </c>
      <c r="K88" s="33">
        <v>1073</v>
      </c>
      <c r="L88" s="76" t="s">
        <v>23</v>
      </c>
      <c r="M88" s="81">
        <v>2900</v>
      </c>
      <c r="N88" s="81">
        <v>53</v>
      </c>
      <c r="O88" s="82">
        <f>0.33*0.31*0.91</f>
        <v>9.3093000000000009E-2</v>
      </c>
    </row>
    <row r="89" spans="1:15" s="47" customFormat="1" ht="18" customHeight="1" thickBot="1" x14ac:dyDescent="0.3">
      <c r="A89" s="104"/>
      <c r="B89" s="29" t="s">
        <v>1140</v>
      </c>
      <c r="C89" s="76">
        <v>4</v>
      </c>
      <c r="D89" s="77">
        <v>5.5</v>
      </c>
      <c r="E89" s="76">
        <v>8</v>
      </c>
      <c r="F89" s="77">
        <v>92</v>
      </c>
      <c r="G89" s="92" t="s">
        <v>301</v>
      </c>
      <c r="H89" s="194">
        <v>100601390</v>
      </c>
      <c r="I89" s="166">
        <v>1102</v>
      </c>
      <c r="J89" s="213">
        <v>100588076</v>
      </c>
      <c r="K89" s="33">
        <v>1236</v>
      </c>
      <c r="L89" s="76" t="s">
        <v>23</v>
      </c>
      <c r="M89" s="81">
        <v>2900</v>
      </c>
      <c r="N89" s="81">
        <v>64</v>
      </c>
      <c r="O89" s="82">
        <f>0.35*0.31*0.98</f>
        <v>0.10632999999999999</v>
      </c>
    </row>
    <row r="90" spans="1:15" s="47" customFormat="1" ht="18" customHeight="1" thickBot="1" x14ac:dyDescent="0.3">
      <c r="A90" s="104"/>
      <c r="B90" s="29" t="s">
        <v>1141</v>
      </c>
      <c r="C90" s="76">
        <v>4</v>
      </c>
      <c r="D90" s="77">
        <v>5.5</v>
      </c>
      <c r="E90" s="76">
        <v>8</v>
      </c>
      <c r="F90" s="77">
        <v>111</v>
      </c>
      <c r="G90" s="92" t="s">
        <v>301</v>
      </c>
      <c r="H90" s="194">
        <v>100601391</v>
      </c>
      <c r="I90" s="166">
        <v>1145.6999388368354</v>
      </c>
      <c r="J90" s="213">
        <v>100588077</v>
      </c>
      <c r="K90" s="33">
        <v>1280</v>
      </c>
      <c r="L90" s="76" t="s">
        <v>23</v>
      </c>
      <c r="M90" s="81">
        <v>2900</v>
      </c>
      <c r="N90" s="81">
        <v>66</v>
      </c>
      <c r="O90" s="82">
        <f>0.35*0.31*1.04</f>
        <v>0.11284000000000001</v>
      </c>
    </row>
    <row r="91" spans="1:15" s="47" customFormat="1" ht="18" customHeight="1" thickBot="1" x14ac:dyDescent="0.3">
      <c r="A91" s="104"/>
      <c r="B91" s="29" t="s">
        <v>1142</v>
      </c>
      <c r="C91" s="76">
        <v>5.5</v>
      </c>
      <c r="D91" s="77">
        <v>7.5</v>
      </c>
      <c r="E91" s="76">
        <v>8</v>
      </c>
      <c r="F91" s="77">
        <v>130</v>
      </c>
      <c r="G91" s="92" t="s">
        <v>301</v>
      </c>
      <c r="H91" s="194">
        <v>100602060</v>
      </c>
      <c r="I91" s="166">
        <v>1474.7986502296992</v>
      </c>
      <c r="J91" s="213">
        <v>100588078</v>
      </c>
      <c r="K91" s="33">
        <v>1608.8352255360003</v>
      </c>
      <c r="L91" s="76" t="s">
        <v>23</v>
      </c>
      <c r="M91" s="81">
        <v>2900</v>
      </c>
      <c r="N91" s="81">
        <v>81</v>
      </c>
      <c r="O91" s="82">
        <f>0.37*0.31*1.16</f>
        <v>0.13305199999999998</v>
      </c>
    </row>
    <row r="92" spans="1:15" s="47" customFormat="1" ht="18" customHeight="1" thickBot="1" x14ac:dyDescent="0.3">
      <c r="A92" s="104"/>
      <c r="B92" s="29" t="s">
        <v>1143</v>
      </c>
      <c r="C92" s="76">
        <v>5.5</v>
      </c>
      <c r="D92" s="77">
        <v>7.5</v>
      </c>
      <c r="E92" s="76">
        <v>8</v>
      </c>
      <c r="F92" s="77">
        <v>148</v>
      </c>
      <c r="G92" s="92" t="s">
        <v>301</v>
      </c>
      <c r="H92" s="194">
        <v>100602665</v>
      </c>
      <c r="I92" s="166">
        <v>1519</v>
      </c>
      <c r="J92" s="213">
        <v>100588079</v>
      </c>
      <c r="K92" s="33">
        <v>1653</v>
      </c>
      <c r="L92" s="76" t="s">
        <v>23</v>
      </c>
      <c r="M92" s="81">
        <v>2900</v>
      </c>
      <c r="N92" s="81">
        <v>84</v>
      </c>
      <c r="O92" s="82">
        <f>0.37*0.31*1.22</f>
        <v>0.139934</v>
      </c>
    </row>
    <row r="93" spans="1:15" s="47" customFormat="1" ht="18" customHeight="1" thickBot="1" x14ac:dyDescent="0.3">
      <c r="A93" s="104"/>
      <c r="B93" s="29" t="s">
        <v>1144</v>
      </c>
      <c r="C93" s="76">
        <v>7.5</v>
      </c>
      <c r="D93" s="77">
        <v>10</v>
      </c>
      <c r="E93" s="76">
        <v>8</v>
      </c>
      <c r="F93" s="77">
        <v>167</v>
      </c>
      <c r="G93" s="92" t="s">
        <v>301</v>
      </c>
      <c r="H93" s="194">
        <v>100602666</v>
      </c>
      <c r="I93" s="166">
        <v>1652</v>
      </c>
      <c r="J93" s="213">
        <v>100588080</v>
      </c>
      <c r="K93" s="33">
        <v>1787</v>
      </c>
      <c r="L93" s="76" t="s">
        <v>23</v>
      </c>
      <c r="M93" s="81">
        <v>2900</v>
      </c>
      <c r="N93" s="81">
        <v>93</v>
      </c>
      <c r="O93" s="82">
        <f>0.37*0.31*1.28</f>
        <v>0.146816</v>
      </c>
    </row>
    <row r="94" spans="1:15" s="47" customFormat="1" ht="18" customHeight="1" thickBot="1" x14ac:dyDescent="0.3">
      <c r="A94" s="104"/>
      <c r="B94" s="29" t="s">
        <v>1145</v>
      </c>
      <c r="C94" s="76">
        <v>7.5</v>
      </c>
      <c r="D94" s="77">
        <v>10</v>
      </c>
      <c r="E94" s="76">
        <v>8</v>
      </c>
      <c r="F94" s="77">
        <v>186</v>
      </c>
      <c r="G94" s="92" t="s">
        <v>301</v>
      </c>
      <c r="H94" s="194">
        <v>100602667</v>
      </c>
      <c r="I94" s="166">
        <v>1693.5446408063906</v>
      </c>
      <c r="J94" s="213">
        <v>100588081</v>
      </c>
      <c r="K94" s="33">
        <v>1828.2218471999997</v>
      </c>
      <c r="L94" s="76" t="s">
        <v>23</v>
      </c>
      <c r="M94" s="81">
        <v>2900</v>
      </c>
      <c r="N94" s="81">
        <v>94</v>
      </c>
      <c r="O94" s="82">
        <f>0.37*0.31*1.34</f>
        <v>0.153698</v>
      </c>
    </row>
    <row r="95" spans="1:15" s="47" customFormat="1" ht="18" customHeight="1" thickBot="1" x14ac:dyDescent="0.3">
      <c r="A95" s="104"/>
      <c r="B95" s="39" t="s">
        <v>1146</v>
      </c>
      <c r="C95" s="76">
        <v>0.75</v>
      </c>
      <c r="D95" s="77">
        <v>1</v>
      </c>
      <c r="E95" s="76">
        <v>10</v>
      </c>
      <c r="F95" s="77">
        <v>7</v>
      </c>
      <c r="G95" s="92" t="s">
        <v>301</v>
      </c>
      <c r="H95" s="194">
        <v>100602668</v>
      </c>
      <c r="I95" s="166">
        <v>576.03407738385613</v>
      </c>
      <c r="J95" s="211"/>
      <c r="K95" s="41">
        <v>754.89306479999993</v>
      </c>
      <c r="L95" s="76" t="s">
        <v>23</v>
      </c>
      <c r="M95" s="81">
        <v>2900</v>
      </c>
      <c r="N95" s="81">
        <v>40</v>
      </c>
      <c r="O95" s="82">
        <f>0.3*0.31*0.61</f>
        <v>5.6729999999999996E-2</v>
      </c>
    </row>
    <row r="96" spans="1:15" s="47" customFormat="1" ht="18" customHeight="1" thickBot="1" x14ac:dyDescent="0.3">
      <c r="A96" s="104"/>
      <c r="B96" s="29" t="s">
        <v>1147</v>
      </c>
      <c r="C96" s="76">
        <v>0.75</v>
      </c>
      <c r="D96" s="77">
        <v>1</v>
      </c>
      <c r="E96" s="76">
        <v>10</v>
      </c>
      <c r="F96" s="77">
        <v>15</v>
      </c>
      <c r="G96" s="92" t="s">
        <v>301</v>
      </c>
      <c r="H96" s="194">
        <v>100601392</v>
      </c>
      <c r="I96" s="166">
        <v>576.03407738385613</v>
      </c>
      <c r="J96" s="213">
        <v>100588082</v>
      </c>
      <c r="K96" s="33">
        <v>754.89306479999993</v>
      </c>
      <c r="L96" s="76" t="s">
        <v>23</v>
      </c>
      <c r="M96" s="81">
        <v>2900</v>
      </c>
      <c r="N96" s="81">
        <v>41</v>
      </c>
      <c r="O96" s="82">
        <f>0.3*0.31*0.61</f>
        <v>5.6729999999999996E-2</v>
      </c>
    </row>
    <row r="97" spans="1:15" s="47" customFormat="1" ht="18" customHeight="1" thickBot="1" x14ac:dyDescent="0.3">
      <c r="A97" s="104"/>
      <c r="B97" s="29" t="s">
        <v>1148</v>
      </c>
      <c r="C97" s="76">
        <v>1.1000000000000001</v>
      </c>
      <c r="D97" s="77">
        <v>1.5</v>
      </c>
      <c r="E97" s="76">
        <v>10</v>
      </c>
      <c r="F97" s="77">
        <v>23</v>
      </c>
      <c r="G97" s="92" t="s">
        <v>301</v>
      </c>
      <c r="H97" s="194">
        <v>100602047</v>
      </c>
      <c r="I97" s="166">
        <v>661</v>
      </c>
      <c r="J97" s="213">
        <v>100588083</v>
      </c>
      <c r="K97" s="33">
        <v>791.94740284799991</v>
      </c>
      <c r="L97" s="76" t="s">
        <v>23</v>
      </c>
      <c r="M97" s="81">
        <v>2900</v>
      </c>
      <c r="N97" s="81">
        <v>43</v>
      </c>
      <c r="O97" s="82">
        <f>0.3*0.31*0.64</f>
        <v>5.9520000000000003E-2</v>
      </c>
    </row>
    <row r="98" spans="1:15" s="47" customFormat="1" ht="18" customHeight="1" thickBot="1" x14ac:dyDescent="0.3">
      <c r="A98" s="104"/>
      <c r="B98" s="29" t="s">
        <v>1149</v>
      </c>
      <c r="C98" s="76">
        <v>1.5</v>
      </c>
      <c r="D98" s="77">
        <v>2</v>
      </c>
      <c r="E98" s="76">
        <v>10</v>
      </c>
      <c r="F98" s="77">
        <v>31</v>
      </c>
      <c r="G98" s="92" t="s">
        <v>301</v>
      </c>
      <c r="H98" s="194">
        <v>100602669</v>
      </c>
      <c r="I98" s="166">
        <v>731</v>
      </c>
      <c r="J98" s="213">
        <v>100588084</v>
      </c>
      <c r="K98" s="33">
        <v>859.68736459199999</v>
      </c>
      <c r="L98" s="76" t="s">
        <v>23</v>
      </c>
      <c r="M98" s="81">
        <v>2900</v>
      </c>
      <c r="N98" s="81">
        <v>49</v>
      </c>
      <c r="O98" s="82">
        <f>0.32*0.31*0.73</f>
        <v>7.2415999999999994E-2</v>
      </c>
    </row>
    <row r="99" spans="1:15" s="47" customFormat="1" ht="18" customHeight="1" thickBot="1" x14ac:dyDescent="0.3">
      <c r="A99" s="104"/>
      <c r="B99" s="29" t="s">
        <v>1150</v>
      </c>
      <c r="C99" s="76">
        <v>2.2000000000000002</v>
      </c>
      <c r="D99" s="77">
        <v>3</v>
      </c>
      <c r="E99" s="76">
        <v>10</v>
      </c>
      <c r="F99" s="77">
        <v>39</v>
      </c>
      <c r="G99" s="92" t="s">
        <v>301</v>
      </c>
      <c r="H99" s="194">
        <v>100602670</v>
      </c>
      <c r="I99" s="166">
        <v>781</v>
      </c>
      <c r="J99" s="213">
        <v>100588085</v>
      </c>
      <c r="K99" s="33">
        <v>911</v>
      </c>
      <c r="L99" s="76" t="s">
        <v>23</v>
      </c>
      <c r="M99" s="81">
        <v>2900</v>
      </c>
      <c r="N99" s="81">
        <v>53</v>
      </c>
      <c r="O99" s="82">
        <f>0.32*0.31*0.76</f>
        <v>7.5392000000000001E-2</v>
      </c>
    </row>
    <row r="100" spans="1:15" s="47" customFormat="1" ht="18" customHeight="1" thickBot="1" x14ac:dyDescent="0.3">
      <c r="A100" s="104"/>
      <c r="B100" s="29" t="s">
        <v>1151</v>
      </c>
      <c r="C100" s="76">
        <v>2.2000000000000002</v>
      </c>
      <c r="D100" s="77">
        <v>3</v>
      </c>
      <c r="E100" s="76">
        <v>10</v>
      </c>
      <c r="F100" s="77">
        <v>48</v>
      </c>
      <c r="G100" s="92" t="s">
        <v>301</v>
      </c>
      <c r="H100" s="194">
        <v>100602671</v>
      </c>
      <c r="I100" s="166">
        <v>803</v>
      </c>
      <c r="J100" s="213">
        <v>100588086</v>
      </c>
      <c r="K100" s="33">
        <v>933</v>
      </c>
      <c r="L100" s="76" t="s">
        <v>23</v>
      </c>
      <c r="M100" s="81">
        <v>2900</v>
      </c>
      <c r="N100" s="81">
        <v>54</v>
      </c>
      <c r="O100" s="82">
        <f>0.32*0.31*0.79</f>
        <v>7.8368000000000007E-2</v>
      </c>
    </row>
    <row r="101" spans="1:15" s="47" customFormat="1" ht="18" customHeight="1" thickBot="1" x14ac:dyDescent="0.3">
      <c r="A101" s="104"/>
      <c r="B101" s="29" t="s">
        <v>1152</v>
      </c>
      <c r="C101" s="76">
        <v>3</v>
      </c>
      <c r="D101" s="77">
        <v>4</v>
      </c>
      <c r="E101" s="76">
        <v>10</v>
      </c>
      <c r="F101" s="77">
        <v>56</v>
      </c>
      <c r="G101" s="92" t="s">
        <v>301</v>
      </c>
      <c r="H101" s="194">
        <v>100601393</v>
      </c>
      <c r="I101" s="166">
        <v>942.85222159806733</v>
      </c>
      <c r="J101" s="213">
        <v>100588087</v>
      </c>
      <c r="K101" s="33">
        <v>1073</v>
      </c>
      <c r="L101" s="76" t="s">
        <v>23</v>
      </c>
      <c r="M101" s="81">
        <v>2900</v>
      </c>
      <c r="N101" s="81">
        <v>64</v>
      </c>
      <c r="O101" s="82">
        <f>0.33*0.31*0.88</f>
        <v>9.0024000000000007E-2</v>
      </c>
    </row>
    <row r="102" spans="1:15" s="47" customFormat="1" ht="18" customHeight="1" thickBot="1" x14ac:dyDescent="0.3">
      <c r="A102" s="104"/>
      <c r="B102" s="29" t="s">
        <v>1153</v>
      </c>
      <c r="C102" s="76">
        <v>3</v>
      </c>
      <c r="D102" s="77">
        <v>4</v>
      </c>
      <c r="E102" s="76">
        <v>10</v>
      </c>
      <c r="F102" s="77">
        <v>64</v>
      </c>
      <c r="G102" s="92" t="s">
        <v>301</v>
      </c>
      <c r="H102" s="194">
        <v>100602048</v>
      </c>
      <c r="I102" s="166">
        <v>964.04991938196486</v>
      </c>
      <c r="J102" s="213">
        <v>100588088</v>
      </c>
      <c r="K102" s="33">
        <v>1093</v>
      </c>
      <c r="L102" s="76" t="s">
        <v>23</v>
      </c>
      <c r="M102" s="81">
        <v>2900</v>
      </c>
      <c r="N102" s="81">
        <v>65</v>
      </c>
      <c r="O102" s="82">
        <f>0.33*0.31*0.91</f>
        <v>9.3093000000000009E-2</v>
      </c>
    </row>
    <row r="103" spans="1:15" s="47" customFormat="1" ht="18" customHeight="1" thickBot="1" x14ac:dyDescent="0.3">
      <c r="A103" s="104"/>
      <c r="B103" s="29" t="s">
        <v>1154</v>
      </c>
      <c r="C103" s="76">
        <v>3</v>
      </c>
      <c r="D103" s="77">
        <v>4</v>
      </c>
      <c r="E103" s="76">
        <v>10</v>
      </c>
      <c r="F103" s="77">
        <v>72</v>
      </c>
      <c r="G103" s="92" t="s">
        <v>301</v>
      </c>
      <c r="H103" s="194">
        <v>100602672</v>
      </c>
      <c r="I103" s="166">
        <v>1089.6774518365346</v>
      </c>
      <c r="J103" s="213">
        <v>100588089</v>
      </c>
      <c r="K103" s="33">
        <v>1218.9184832159999</v>
      </c>
      <c r="L103" s="76" t="s">
        <v>23</v>
      </c>
      <c r="M103" s="81">
        <v>2900</v>
      </c>
      <c r="N103" s="81">
        <v>66</v>
      </c>
      <c r="O103" s="82">
        <f>0.33*0.31*0.94</f>
        <v>9.6161999999999997E-2</v>
      </c>
    </row>
    <row r="104" spans="1:15" s="47" customFormat="1" ht="18" customHeight="1" thickBot="1" x14ac:dyDescent="0.3">
      <c r="A104" s="104"/>
      <c r="B104" s="29" t="s">
        <v>1155</v>
      </c>
      <c r="C104" s="76">
        <v>4</v>
      </c>
      <c r="D104" s="77">
        <v>5.5</v>
      </c>
      <c r="E104" s="76">
        <v>10</v>
      </c>
      <c r="F104" s="77">
        <v>80</v>
      </c>
      <c r="G104" s="92" t="s">
        <v>301</v>
      </c>
      <c r="H104" s="194">
        <v>100602046</v>
      </c>
      <c r="I104" s="166">
        <v>1124</v>
      </c>
      <c r="J104" s="213">
        <v>100588090</v>
      </c>
      <c r="K104" s="33">
        <v>1260.0256394879998</v>
      </c>
      <c r="L104" s="76" t="s">
        <v>23</v>
      </c>
      <c r="M104" s="81">
        <v>2900</v>
      </c>
      <c r="N104" s="81">
        <v>74</v>
      </c>
      <c r="O104" s="82">
        <f>0.35*0.31*0.98</f>
        <v>0.10632999999999999</v>
      </c>
    </row>
    <row r="105" spans="1:15" s="47" customFormat="1" ht="18" customHeight="1" thickBot="1" x14ac:dyDescent="0.3">
      <c r="A105" s="104"/>
      <c r="B105" s="29" t="s">
        <v>1156</v>
      </c>
      <c r="C105" s="76">
        <v>4</v>
      </c>
      <c r="D105" s="77">
        <v>5.5</v>
      </c>
      <c r="E105" s="76">
        <v>10</v>
      </c>
      <c r="F105" s="77">
        <v>96</v>
      </c>
      <c r="G105" s="92" t="s">
        <v>301</v>
      </c>
      <c r="H105" s="194">
        <v>100601394</v>
      </c>
      <c r="I105" s="166">
        <v>1169</v>
      </c>
      <c r="J105" s="213">
        <v>100588091</v>
      </c>
      <c r="K105" s="33">
        <v>1304.5621034879998</v>
      </c>
      <c r="L105" s="76" t="s">
        <v>23</v>
      </c>
      <c r="M105" s="81">
        <v>2900</v>
      </c>
      <c r="N105" s="81">
        <v>76</v>
      </c>
      <c r="O105" s="82">
        <f>0.35*0.31*1.04</f>
        <v>0.11284000000000001</v>
      </c>
    </row>
    <row r="106" spans="1:15" s="47" customFormat="1" ht="18" customHeight="1" thickBot="1" x14ac:dyDescent="0.3">
      <c r="A106" s="104"/>
      <c r="B106" s="29" t="s">
        <v>1157</v>
      </c>
      <c r="C106" s="76">
        <v>5.5</v>
      </c>
      <c r="D106" s="77">
        <v>7.5</v>
      </c>
      <c r="E106" s="76">
        <v>10</v>
      </c>
      <c r="F106" s="77">
        <v>113</v>
      </c>
      <c r="G106" s="92" t="s">
        <v>301</v>
      </c>
      <c r="H106" s="194">
        <v>100602673</v>
      </c>
      <c r="I106" s="166">
        <v>1505</v>
      </c>
      <c r="J106" s="213">
        <v>100588092</v>
      </c>
      <c r="K106" s="33">
        <v>1641.0796254719999</v>
      </c>
      <c r="L106" s="76" t="s">
        <v>23</v>
      </c>
      <c r="M106" s="81">
        <v>2900</v>
      </c>
      <c r="N106" s="81">
        <v>100</v>
      </c>
      <c r="O106" s="82">
        <f>0.37*0.31*1.16</f>
        <v>0.13305199999999998</v>
      </c>
    </row>
    <row r="107" spans="1:15" s="47" customFormat="1" ht="18" customHeight="1" thickBot="1" x14ac:dyDescent="0.3">
      <c r="A107" s="104"/>
      <c r="B107" s="29" t="s">
        <v>1158</v>
      </c>
      <c r="C107" s="76">
        <v>5.5</v>
      </c>
      <c r="D107" s="77">
        <v>7.5</v>
      </c>
      <c r="E107" s="76">
        <v>10</v>
      </c>
      <c r="F107" s="77">
        <v>129</v>
      </c>
      <c r="G107" s="92" t="s">
        <v>301</v>
      </c>
      <c r="H107" s="194">
        <v>100601395</v>
      </c>
      <c r="I107" s="166">
        <v>1550</v>
      </c>
      <c r="J107" s="213">
        <v>100588093</v>
      </c>
      <c r="K107" s="33">
        <v>1687</v>
      </c>
      <c r="L107" s="76" t="s">
        <v>23</v>
      </c>
      <c r="M107" s="81">
        <v>2900</v>
      </c>
      <c r="N107" s="81">
        <v>102</v>
      </c>
      <c r="O107" s="82">
        <f>0.37*0.31*1.22</f>
        <v>0.139934</v>
      </c>
    </row>
    <row r="108" spans="1:15" s="47" customFormat="1" ht="18" customHeight="1" thickBot="1" x14ac:dyDescent="0.3">
      <c r="A108" s="104"/>
      <c r="B108" s="29" t="s">
        <v>1159</v>
      </c>
      <c r="C108" s="76">
        <v>7.5</v>
      </c>
      <c r="D108" s="77">
        <v>10</v>
      </c>
      <c r="E108" s="76">
        <v>10</v>
      </c>
      <c r="F108" s="77">
        <v>145</v>
      </c>
      <c r="G108" s="92" t="s">
        <v>301</v>
      </c>
      <c r="H108" s="194">
        <v>100602674</v>
      </c>
      <c r="I108" s="166">
        <v>1685</v>
      </c>
      <c r="J108" s="213">
        <v>100588094</v>
      </c>
      <c r="K108" s="33">
        <v>1820</v>
      </c>
      <c r="L108" s="76" t="s">
        <v>23</v>
      </c>
      <c r="M108" s="81">
        <v>2900</v>
      </c>
      <c r="N108" s="81">
        <v>107</v>
      </c>
      <c r="O108" s="82">
        <f>0.37*0.31*1.28</f>
        <v>0.146816</v>
      </c>
    </row>
    <row r="109" spans="1:15" s="47" customFormat="1" ht="18" customHeight="1" thickBot="1" x14ac:dyDescent="0.3">
      <c r="A109" s="104"/>
      <c r="B109" s="29" t="s">
        <v>1160</v>
      </c>
      <c r="C109" s="76">
        <v>7.5</v>
      </c>
      <c r="D109" s="77">
        <v>10</v>
      </c>
      <c r="E109" s="76">
        <v>10</v>
      </c>
      <c r="F109" s="77">
        <v>162</v>
      </c>
      <c r="G109" s="92" t="s">
        <v>301</v>
      </c>
      <c r="H109" s="194">
        <v>100602675</v>
      </c>
      <c r="I109" s="166">
        <v>1728</v>
      </c>
      <c r="J109" s="213">
        <v>100588095</v>
      </c>
      <c r="K109" s="33">
        <v>1864.6972112159997</v>
      </c>
      <c r="L109" s="76" t="s">
        <v>23</v>
      </c>
      <c r="M109" s="81">
        <v>2900</v>
      </c>
      <c r="N109" s="81">
        <v>109</v>
      </c>
      <c r="O109" s="82">
        <f>0.37*0.31*1.34</f>
        <v>0.153698</v>
      </c>
    </row>
    <row r="110" spans="1:15" s="47" customFormat="1" ht="18" customHeight="1" thickBot="1" x14ac:dyDescent="0.3">
      <c r="A110" s="104"/>
      <c r="B110" s="29" t="s">
        <v>1161</v>
      </c>
      <c r="C110" s="76">
        <v>7.5</v>
      </c>
      <c r="D110" s="77">
        <v>10</v>
      </c>
      <c r="E110" s="76">
        <v>10</v>
      </c>
      <c r="F110" s="77">
        <v>178</v>
      </c>
      <c r="G110" s="92" t="s">
        <v>301</v>
      </c>
      <c r="H110" s="194">
        <v>100602676</v>
      </c>
      <c r="I110" s="166">
        <v>1770.0077649554496</v>
      </c>
      <c r="J110" s="213">
        <v>100588096</v>
      </c>
      <c r="K110" s="33">
        <v>1913</v>
      </c>
      <c r="L110" s="76" t="s">
        <v>23</v>
      </c>
      <c r="M110" s="81">
        <v>2900</v>
      </c>
      <c r="N110" s="81">
        <v>111</v>
      </c>
      <c r="O110" s="82">
        <f>0.37*0.31*1.4</f>
        <v>0.16057999999999997</v>
      </c>
    </row>
    <row r="111" spans="1:15" s="47" customFormat="1" ht="18" customHeight="1" thickBot="1" x14ac:dyDescent="0.3">
      <c r="A111" s="104"/>
      <c r="B111" s="29" t="s">
        <v>1162</v>
      </c>
      <c r="C111" s="76">
        <v>1.5</v>
      </c>
      <c r="D111" s="77">
        <v>2</v>
      </c>
      <c r="E111" s="76">
        <v>12</v>
      </c>
      <c r="F111" s="77">
        <v>20</v>
      </c>
      <c r="G111" s="92" t="s">
        <v>302</v>
      </c>
      <c r="H111" s="194">
        <v>100601396</v>
      </c>
      <c r="I111" s="166">
        <v>694.71446518656001</v>
      </c>
      <c r="J111" s="213">
        <v>100588097</v>
      </c>
      <c r="K111" s="33">
        <v>821</v>
      </c>
      <c r="L111" s="76" t="s">
        <v>23</v>
      </c>
      <c r="M111" s="81">
        <v>2900</v>
      </c>
      <c r="N111" s="81">
        <v>39</v>
      </c>
      <c r="O111" s="82">
        <f>0.33*0.31*0.68</f>
        <v>6.9564000000000001E-2</v>
      </c>
    </row>
    <row r="112" spans="1:15" s="47" customFormat="1" ht="18" customHeight="1" thickBot="1" x14ac:dyDescent="0.3">
      <c r="A112" s="104"/>
      <c r="B112" s="29" t="s">
        <v>1163</v>
      </c>
      <c r="C112" s="76">
        <v>2.2000000000000002</v>
      </c>
      <c r="D112" s="77">
        <v>3</v>
      </c>
      <c r="E112" s="76">
        <v>12</v>
      </c>
      <c r="F112" s="77">
        <v>30</v>
      </c>
      <c r="G112" s="92" t="s">
        <v>302</v>
      </c>
      <c r="H112" s="194">
        <v>100602677</v>
      </c>
      <c r="I112" s="166">
        <v>747</v>
      </c>
      <c r="J112" s="213">
        <v>100588098</v>
      </c>
      <c r="K112" s="33">
        <v>873</v>
      </c>
      <c r="L112" s="76" t="s">
        <v>23</v>
      </c>
      <c r="M112" s="81">
        <v>2900</v>
      </c>
      <c r="N112" s="81">
        <v>43</v>
      </c>
      <c r="O112" s="82">
        <f>0.33*0.31*0.71</f>
        <v>7.2633000000000003E-2</v>
      </c>
    </row>
    <row r="113" spans="1:15" s="47" customFormat="1" ht="18" customHeight="1" thickBot="1" x14ac:dyDescent="0.3">
      <c r="A113" s="104"/>
      <c r="B113" s="29" t="s">
        <v>1164</v>
      </c>
      <c r="C113" s="76">
        <v>3</v>
      </c>
      <c r="D113" s="77">
        <v>4</v>
      </c>
      <c r="E113" s="76">
        <v>12</v>
      </c>
      <c r="F113" s="77">
        <v>40</v>
      </c>
      <c r="G113" s="92" t="s">
        <v>302</v>
      </c>
      <c r="H113" s="194">
        <v>100602678</v>
      </c>
      <c r="I113" s="166">
        <v>861.8022006596351</v>
      </c>
      <c r="J113" s="213">
        <v>100588099</v>
      </c>
      <c r="K113" s="33">
        <v>985.01297428800001</v>
      </c>
      <c r="L113" s="76" t="s">
        <v>23</v>
      </c>
      <c r="M113" s="81">
        <v>2900</v>
      </c>
      <c r="N113" s="81">
        <v>51</v>
      </c>
      <c r="O113" s="82">
        <f>0.34*0.31*0.8</f>
        <v>8.4320000000000006E-2</v>
      </c>
    </row>
    <row r="114" spans="1:15" s="47" customFormat="1" ht="18" customHeight="1" thickBot="1" x14ac:dyDescent="0.3">
      <c r="A114" s="104"/>
      <c r="B114" s="29" t="s">
        <v>1165</v>
      </c>
      <c r="C114" s="76">
        <v>3</v>
      </c>
      <c r="D114" s="77">
        <v>4</v>
      </c>
      <c r="E114" s="76">
        <v>12</v>
      </c>
      <c r="F114" s="77">
        <v>50</v>
      </c>
      <c r="G114" s="92" t="s">
        <v>302</v>
      </c>
      <c r="H114" s="194">
        <v>100602049</v>
      </c>
      <c r="I114" s="166">
        <v>884</v>
      </c>
      <c r="J114" s="213">
        <v>100588100</v>
      </c>
      <c r="K114" s="33">
        <v>1005.9005759039999</v>
      </c>
      <c r="L114" s="76" t="s">
        <v>23</v>
      </c>
      <c r="M114" s="81">
        <v>2900</v>
      </c>
      <c r="N114" s="81">
        <v>53</v>
      </c>
      <c r="O114" s="82">
        <f>0.34*0.31*0.83</f>
        <v>8.7482000000000004E-2</v>
      </c>
    </row>
    <row r="115" spans="1:15" s="47" customFormat="1" ht="18" customHeight="1" thickBot="1" x14ac:dyDescent="0.3">
      <c r="A115" s="104"/>
      <c r="B115" s="29" t="s">
        <v>1166</v>
      </c>
      <c r="C115" s="76">
        <v>4</v>
      </c>
      <c r="D115" s="77">
        <v>5.5</v>
      </c>
      <c r="E115" s="76">
        <v>12</v>
      </c>
      <c r="F115" s="77">
        <v>60</v>
      </c>
      <c r="G115" s="92" t="s">
        <v>302</v>
      </c>
      <c r="H115" s="194">
        <v>100602050</v>
      </c>
      <c r="I115" s="166">
        <v>975.3612959305151</v>
      </c>
      <c r="J115" s="213">
        <v>100588101</v>
      </c>
      <c r="K115" s="33">
        <v>1101</v>
      </c>
      <c r="L115" s="76" t="s">
        <v>23</v>
      </c>
      <c r="M115" s="81">
        <v>2900</v>
      </c>
      <c r="N115" s="81">
        <v>61</v>
      </c>
      <c r="O115" s="82">
        <f>0.36*0.31*0.87</f>
        <v>9.7091999999999998E-2</v>
      </c>
    </row>
    <row r="116" spans="1:15" s="47" customFormat="1" ht="18" customHeight="1" thickBot="1" x14ac:dyDescent="0.3">
      <c r="A116" s="104"/>
      <c r="B116" s="29" t="s">
        <v>1167</v>
      </c>
      <c r="C116" s="76">
        <v>5.5</v>
      </c>
      <c r="D116" s="77">
        <v>7.5</v>
      </c>
      <c r="E116" s="76">
        <v>12</v>
      </c>
      <c r="F116" s="77">
        <v>70</v>
      </c>
      <c r="G116" s="92" t="s">
        <v>302</v>
      </c>
      <c r="H116" s="194">
        <v>100602680</v>
      </c>
      <c r="I116" s="166">
        <v>1292.1689052470015</v>
      </c>
      <c r="J116" s="213">
        <v>100588102</v>
      </c>
      <c r="K116" s="33">
        <v>1418.7535971839998</v>
      </c>
      <c r="L116" s="76" t="s">
        <v>23</v>
      </c>
      <c r="M116" s="81">
        <v>2900</v>
      </c>
      <c r="N116" s="81">
        <v>73</v>
      </c>
      <c r="O116" s="82">
        <f>0.38*0.31*0.96</f>
        <v>0.11308799999999999</v>
      </c>
    </row>
    <row r="117" spans="1:15" s="47" customFormat="1" ht="18" customHeight="1" thickBot="1" x14ac:dyDescent="0.3">
      <c r="A117" s="104"/>
      <c r="B117" s="29" t="s">
        <v>1168</v>
      </c>
      <c r="C117" s="76">
        <v>5.5</v>
      </c>
      <c r="D117" s="77">
        <v>7.5</v>
      </c>
      <c r="E117" s="76">
        <v>12</v>
      </c>
      <c r="F117" s="77">
        <v>80</v>
      </c>
      <c r="G117" s="92" t="s">
        <v>302</v>
      </c>
      <c r="H117" s="194">
        <v>100602051</v>
      </c>
      <c r="I117" s="166">
        <v>1311.2290200610944</v>
      </c>
      <c r="J117" s="213">
        <v>100588103</v>
      </c>
      <c r="K117" s="33">
        <v>1439</v>
      </c>
      <c r="L117" s="76" t="s">
        <v>23</v>
      </c>
      <c r="M117" s="81">
        <v>2900</v>
      </c>
      <c r="N117" s="81">
        <v>74</v>
      </c>
      <c r="O117" s="82">
        <f>0.38*0.31*0.99</f>
        <v>0.116622</v>
      </c>
    </row>
    <row r="118" spans="1:15" s="47" customFormat="1" ht="18" customHeight="1" thickBot="1" x14ac:dyDescent="0.3">
      <c r="A118" s="104"/>
      <c r="B118" s="29" t="s">
        <v>1169</v>
      </c>
      <c r="C118" s="76">
        <v>5.5</v>
      </c>
      <c r="D118" s="77">
        <v>7.5</v>
      </c>
      <c r="E118" s="76">
        <v>12</v>
      </c>
      <c r="F118" s="77">
        <v>91</v>
      </c>
      <c r="G118" s="92" t="s">
        <v>302</v>
      </c>
      <c r="H118" s="194">
        <v>100602682</v>
      </c>
      <c r="I118" s="166">
        <v>1332.5157838020673</v>
      </c>
      <c r="J118" s="213">
        <v>100588104</v>
      </c>
      <c r="K118" s="33">
        <v>1458</v>
      </c>
      <c r="L118" s="76" t="s">
        <v>23</v>
      </c>
      <c r="M118" s="81">
        <v>2900</v>
      </c>
      <c r="N118" s="81">
        <v>76</v>
      </c>
      <c r="O118" s="82">
        <f>0.38*0.31*1.02</f>
        <v>0.120156</v>
      </c>
    </row>
    <row r="119" spans="1:15" s="47" customFormat="1" ht="18" customHeight="1" thickBot="1" x14ac:dyDescent="0.3">
      <c r="A119" s="104"/>
      <c r="B119" s="29" t="s">
        <v>1170</v>
      </c>
      <c r="C119" s="76">
        <v>7.5</v>
      </c>
      <c r="D119" s="77">
        <v>10</v>
      </c>
      <c r="E119" s="76">
        <v>12</v>
      </c>
      <c r="F119" s="77">
        <v>101</v>
      </c>
      <c r="G119" s="92" t="s">
        <v>302</v>
      </c>
      <c r="H119" s="194">
        <v>100602683</v>
      </c>
      <c r="I119" s="166">
        <v>1415.1244589893154</v>
      </c>
      <c r="J119" s="213">
        <v>100588105</v>
      </c>
      <c r="K119" s="33">
        <v>1543</v>
      </c>
      <c r="L119" s="76" t="s">
        <v>23</v>
      </c>
      <c r="M119" s="81">
        <v>2900</v>
      </c>
      <c r="N119" s="81">
        <v>83</v>
      </c>
      <c r="O119" s="82">
        <f>0.38*0.31*1.05</f>
        <v>0.12369000000000001</v>
      </c>
    </row>
    <row r="120" spans="1:15" s="47" customFormat="1" ht="18" customHeight="1" thickBot="1" x14ac:dyDescent="0.3">
      <c r="A120" s="104"/>
      <c r="B120" s="29" t="s">
        <v>1111</v>
      </c>
      <c r="C120" s="76">
        <v>7.5</v>
      </c>
      <c r="D120" s="77">
        <v>10</v>
      </c>
      <c r="E120" s="76">
        <v>12</v>
      </c>
      <c r="F120" s="77">
        <v>121</v>
      </c>
      <c r="G120" s="92" t="s">
        <v>302</v>
      </c>
      <c r="H120" s="194">
        <v>100602684</v>
      </c>
      <c r="I120" s="166">
        <v>1459.6129045483774</v>
      </c>
      <c r="J120" s="213">
        <v>100588106</v>
      </c>
      <c r="K120" s="33">
        <v>1588</v>
      </c>
      <c r="L120" s="76" t="s">
        <v>23</v>
      </c>
      <c r="M120" s="81">
        <v>2900</v>
      </c>
      <c r="N120" s="81">
        <v>87</v>
      </c>
      <c r="O120" s="82">
        <f>0.38*0.31*1.11</f>
        <v>0.13075800000000001</v>
      </c>
    </row>
    <row r="121" spans="1:15" s="47" customFormat="1" ht="18" customHeight="1" thickBot="1" x14ac:dyDescent="0.3">
      <c r="A121" s="104"/>
      <c r="B121" s="29" t="s">
        <v>1110</v>
      </c>
      <c r="C121" s="76">
        <v>11</v>
      </c>
      <c r="D121" s="77">
        <v>15</v>
      </c>
      <c r="E121" s="76">
        <v>12</v>
      </c>
      <c r="F121" s="77">
        <v>141</v>
      </c>
      <c r="G121" s="92" t="s">
        <v>302</v>
      </c>
      <c r="H121" s="194">
        <v>100602685</v>
      </c>
      <c r="I121" s="166">
        <v>2176.8610568749637</v>
      </c>
      <c r="J121" s="213">
        <v>100588107</v>
      </c>
      <c r="K121" s="33">
        <v>2310</v>
      </c>
      <c r="L121" s="76" t="s">
        <v>23</v>
      </c>
      <c r="M121" s="81">
        <v>2900</v>
      </c>
      <c r="N121" s="81">
        <v>157</v>
      </c>
      <c r="O121" s="82">
        <f>0.43*0.31*1.37</f>
        <v>0.18262100000000001</v>
      </c>
    </row>
    <row r="122" spans="1:15" s="47" customFormat="1" ht="18" customHeight="1" thickBot="1" x14ac:dyDescent="0.3">
      <c r="A122" s="104"/>
      <c r="B122" s="29" t="s">
        <v>1109</v>
      </c>
      <c r="C122" s="76">
        <v>11</v>
      </c>
      <c r="D122" s="77">
        <v>15</v>
      </c>
      <c r="E122" s="76">
        <v>12</v>
      </c>
      <c r="F122" s="77">
        <v>162</v>
      </c>
      <c r="G122" s="92" t="s">
        <v>302</v>
      </c>
      <c r="H122" s="194">
        <v>100602686</v>
      </c>
      <c r="I122" s="166">
        <v>2220</v>
      </c>
      <c r="J122" s="213">
        <v>100588108</v>
      </c>
      <c r="K122" s="33">
        <v>2350</v>
      </c>
      <c r="L122" s="76" t="s">
        <v>23</v>
      </c>
      <c r="M122" s="81">
        <v>2900</v>
      </c>
      <c r="N122" s="81">
        <v>161</v>
      </c>
      <c r="O122" s="82">
        <f>0.43*0.31*1.43</f>
        <v>0.19061899999999998</v>
      </c>
    </row>
    <row r="123" spans="1:15" s="47" customFormat="1" ht="18" customHeight="1" thickBot="1" x14ac:dyDescent="0.3">
      <c r="A123" s="104"/>
      <c r="B123" s="29" t="s">
        <v>1108</v>
      </c>
      <c r="C123" s="76">
        <v>11</v>
      </c>
      <c r="D123" s="77">
        <v>15</v>
      </c>
      <c r="E123" s="76">
        <v>12</v>
      </c>
      <c r="F123" s="77">
        <v>183</v>
      </c>
      <c r="G123" s="92" t="s">
        <v>302</v>
      </c>
      <c r="H123" s="194">
        <v>100602687</v>
      </c>
      <c r="I123" s="166">
        <v>2290</v>
      </c>
      <c r="J123" s="213">
        <v>100588109</v>
      </c>
      <c r="K123" s="33">
        <v>2420</v>
      </c>
      <c r="L123" s="76" t="s">
        <v>23</v>
      </c>
      <c r="M123" s="81">
        <v>2900</v>
      </c>
      <c r="N123" s="81">
        <v>164</v>
      </c>
      <c r="O123" s="82">
        <f>0.43*0.31*1.49</f>
        <v>0.19861699999999999</v>
      </c>
    </row>
    <row r="124" spans="1:15" s="47" customFormat="1" ht="18" customHeight="1" thickBot="1" x14ac:dyDescent="0.3">
      <c r="A124" s="104"/>
      <c r="B124" s="29" t="s">
        <v>1107</v>
      </c>
      <c r="C124" s="76">
        <v>2.2000000000000002</v>
      </c>
      <c r="D124" s="77">
        <v>3</v>
      </c>
      <c r="E124" s="76">
        <v>16</v>
      </c>
      <c r="F124" s="77">
        <v>22</v>
      </c>
      <c r="G124" s="92" t="s">
        <v>302</v>
      </c>
      <c r="H124" s="194">
        <v>100602688</v>
      </c>
      <c r="I124" s="166">
        <v>712.12685979476169</v>
      </c>
      <c r="J124" s="213">
        <v>100588110</v>
      </c>
      <c r="K124" s="33">
        <v>833</v>
      </c>
      <c r="L124" s="76" t="s">
        <v>23</v>
      </c>
      <c r="M124" s="81">
        <v>2900</v>
      </c>
      <c r="N124" s="81">
        <v>42</v>
      </c>
      <c r="O124" s="82">
        <f>0.33*0.31*0.71</f>
        <v>7.2633000000000003E-2</v>
      </c>
    </row>
    <row r="125" spans="1:15" s="47" customFormat="1" ht="18" customHeight="1" thickBot="1" x14ac:dyDescent="0.3">
      <c r="A125" s="104"/>
      <c r="B125" s="29" t="s">
        <v>1106</v>
      </c>
      <c r="C125" s="76">
        <v>3</v>
      </c>
      <c r="D125" s="77">
        <v>4</v>
      </c>
      <c r="E125" s="76">
        <v>16</v>
      </c>
      <c r="F125" s="77">
        <v>34</v>
      </c>
      <c r="G125" s="92" t="s">
        <v>302</v>
      </c>
      <c r="H125" s="194">
        <v>100602689</v>
      </c>
      <c r="I125" s="166">
        <v>831</v>
      </c>
      <c r="J125" s="213">
        <v>100588111</v>
      </c>
      <c r="K125" s="33">
        <v>950</v>
      </c>
      <c r="L125" s="76" t="s">
        <v>23</v>
      </c>
      <c r="M125" s="81">
        <v>2900</v>
      </c>
      <c r="N125" s="81">
        <v>50</v>
      </c>
      <c r="O125" s="82">
        <f>0.34*0.31*0.82</f>
        <v>8.6428000000000005E-2</v>
      </c>
    </row>
    <row r="126" spans="1:15" s="47" customFormat="1" ht="18" customHeight="1" thickBot="1" x14ac:dyDescent="0.3">
      <c r="A126" s="104"/>
      <c r="B126" s="29" t="s">
        <v>1105</v>
      </c>
      <c r="C126" s="76">
        <v>4</v>
      </c>
      <c r="D126" s="77">
        <v>5.5</v>
      </c>
      <c r="E126" s="76">
        <v>16</v>
      </c>
      <c r="F126" s="77">
        <v>46</v>
      </c>
      <c r="G126" s="92" t="s">
        <v>302</v>
      </c>
      <c r="H126" s="194">
        <v>100602690</v>
      </c>
      <c r="I126" s="166">
        <v>927</v>
      </c>
      <c r="J126" s="213">
        <v>100588112</v>
      </c>
      <c r="K126" s="33">
        <v>1047</v>
      </c>
      <c r="L126" s="76" t="s">
        <v>23</v>
      </c>
      <c r="M126" s="81">
        <v>2900</v>
      </c>
      <c r="N126" s="81">
        <v>59</v>
      </c>
      <c r="O126" s="82">
        <f>0.36*0.31*0.87</f>
        <v>9.7091999999999998E-2</v>
      </c>
    </row>
    <row r="127" spans="1:15" s="47" customFormat="1" ht="18" customHeight="1" thickBot="1" x14ac:dyDescent="0.3">
      <c r="A127" s="104"/>
      <c r="B127" s="29" t="s">
        <v>1104</v>
      </c>
      <c r="C127" s="76">
        <v>5.5</v>
      </c>
      <c r="D127" s="77">
        <v>7.5</v>
      </c>
      <c r="E127" s="76">
        <v>16</v>
      </c>
      <c r="F127" s="77">
        <v>58</v>
      </c>
      <c r="G127" s="92" t="s">
        <v>302</v>
      </c>
      <c r="H127" s="194">
        <v>100602691</v>
      </c>
      <c r="I127" s="166">
        <v>1216</v>
      </c>
      <c r="J127" s="213">
        <v>100588113</v>
      </c>
      <c r="K127" s="33">
        <v>1337</v>
      </c>
      <c r="L127" s="76" t="s">
        <v>23</v>
      </c>
      <c r="M127" s="81">
        <v>2900</v>
      </c>
      <c r="N127" s="81">
        <v>76</v>
      </c>
      <c r="O127" s="82">
        <f>0.38*0.31*0.97</f>
        <v>0.11426599999999999</v>
      </c>
    </row>
    <row r="128" spans="1:15" s="47" customFormat="1" ht="18" customHeight="1" thickBot="1" x14ac:dyDescent="0.3">
      <c r="A128" s="104"/>
      <c r="B128" s="29" t="s">
        <v>1103</v>
      </c>
      <c r="C128" s="76">
        <v>5.5</v>
      </c>
      <c r="D128" s="77">
        <v>7.5</v>
      </c>
      <c r="E128" s="76">
        <v>16</v>
      </c>
      <c r="F128" s="77">
        <v>70</v>
      </c>
      <c r="G128" s="92" t="s">
        <v>302</v>
      </c>
      <c r="H128" s="194">
        <v>100602050</v>
      </c>
      <c r="I128" s="166">
        <v>1265.092854296141</v>
      </c>
      <c r="J128" s="213">
        <v>100588114</v>
      </c>
      <c r="K128" s="33">
        <v>1388</v>
      </c>
      <c r="L128" s="76" t="s">
        <v>23</v>
      </c>
      <c r="M128" s="81">
        <v>2900</v>
      </c>
      <c r="N128" s="81">
        <v>77</v>
      </c>
      <c r="O128" s="82">
        <f>0.38*0.31*1.02</f>
        <v>0.120156</v>
      </c>
    </row>
    <row r="129" spans="1:15" s="47" customFormat="1" ht="18" customHeight="1" thickBot="1" x14ac:dyDescent="0.3">
      <c r="A129" s="104"/>
      <c r="B129" s="29" t="s">
        <v>1102</v>
      </c>
      <c r="C129" s="76">
        <v>7.5</v>
      </c>
      <c r="D129" s="77">
        <v>10</v>
      </c>
      <c r="E129" s="76">
        <v>16</v>
      </c>
      <c r="F129" s="77">
        <v>82</v>
      </c>
      <c r="G129" s="92" t="s">
        <v>302</v>
      </c>
      <c r="H129" s="194">
        <v>100602692</v>
      </c>
      <c r="I129" s="166">
        <v>1351.8876294659233</v>
      </c>
      <c r="J129" s="213">
        <v>100588115</v>
      </c>
      <c r="K129" s="33">
        <v>1472.9544738719999</v>
      </c>
      <c r="L129" s="76" t="s">
        <v>23</v>
      </c>
      <c r="M129" s="81">
        <v>2900</v>
      </c>
      <c r="N129" s="81">
        <v>84</v>
      </c>
      <c r="O129" s="82">
        <f>0.38*0.31*1.06</f>
        <v>0.12486800000000001</v>
      </c>
    </row>
    <row r="130" spans="1:15" s="47" customFormat="1" ht="18" customHeight="1" thickBot="1" x14ac:dyDescent="0.3">
      <c r="A130" s="104"/>
      <c r="B130" s="29" t="s">
        <v>1101</v>
      </c>
      <c r="C130" s="76">
        <v>7.5</v>
      </c>
      <c r="D130" s="77">
        <v>10</v>
      </c>
      <c r="E130" s="76">
        <v>16</v>
      </c>
      <c r="F130" s="77">
        <v>94</v>
      </c>
      <c r="G130" s="92" t="s">
        <v>302</v>
      </c>
      <c r="H130" s="194">
        <v>100602051</v>
      </c>
      <c r="I130" s="166">
        <v>1380</v>
      </c>
      <c r="J130" s="213">
        <v>100588116</v>
      </c>
      <c r="K130" s="33">
        <v>1501</v>
      </c>
      <c r="L130" s="76" t="s">
        <v>23</v>
      </c>
      <c r="M130" s="81">
        <v>2900</v>
      </c>
      <c r="N130" s="81">
        <v>86</v>
      </c>
      <c r="O130" s="82">
        <f>0.38*0.31*1.11</f>
        <v>0.13075800000000001</v>
      </c>
    </row>
    <row r="131" spans="1:15" s="47" customFormat="1" ht="18" customHeight="1" thickBot="1" x14ac:dyDescent="0.3">
      <c r="A131" s="104"/>
      <c r="B131" s="29" t="s">
        <v>1100</v>
      </c>
      <c r="C131" s="76">
        <v>11</v>
      </c>
      <c r="D131" s="77">
        <v>15</v>
      </c>
      <c r="E131" s="76">
        <v>16</v>
      </c>
      <c r="F131" s="77">
        <v>118</v>
      </c>
      <c r="G131" s="92" t="s">
        <v>302</v>
      </c>
      <c r="H131" s="194">
        <v>100602693</v>
      </c>
      <c r="I131" s="166">
        <v>2090</v>
      </c>
      <c r="J131" s="213">
        <v>100588117</v>
      </c>
      <c r="K131" s="33">
        <v>2210</v>
      </c>
      <c r="L131" s="76" t="s">
        <v>23</v>
      </c>
      <c r="M131" s="81">
        <v>2900</v>
      </c>
      <c r="N131" s="81">
        <v>158</v>
      </c>
      <c r="O131" s="82">
        <f>0.43*0.31*1.4</f>
        <v>0.18661999999999998</v>
      </c>
    </row>
    <row r="132" spans="1:15" s="47" customFormat="1" ht="18" customHeight="1" thickBot="1" x14ac:dyDescent="0.3">
      <c r="A132" s="104"/>
      <c r="B132" s="29" t="s">
        <v>1099</v>
      </c>
      <c r="C132" s="76">
        <v>11</v>
      </c>
      <c r="D132" s="77">
        <v>15</v>
      </c>
      <c r="E132" s="76">
        <v>16</v>
      </c>
      <c r="F132" s="77">
        <v>141</v>
      </c>
      <c r="G132" s="92" t="s">
        <v>302</v>
      </c>
      <c r="H132" s="194">
        <v>100602694</v>
      </c>
      <c r="I132" s="166">
        <v>2140</v>
      </c>
      <c r="J132" s="213">
        <v>100588118</v>
      </c>
      <c r="K132" s="33">
        <v>2260</v>
      </c>
      <c r="L132" s="76" t="s">
        <v>23</v>
      </c>
      <c r="M132" s="81">
        <v>2900</v>
      </c>
      <c r="N132" s="81">
        <v>161</v>
      </c>
      <c r="O132" s="82">
        <f>0.43*0.31*1.49</f>
        <v>0.19861699999999999</v>
      </c>
    </row>
    <row r="133" spans="1:15" s="47" customFormat="1" ht="18" customHeight="1" thickBot="1" x14ac:dyDescent="0.3">
      <c r="A133" s="104"/>
      <c r="B133" s="29" t="s">
        <v>1098</v>
      </c>
      <c r="C133" s="76">
        <v>15</v>
      </c>
      <c r="D133" s="77">
        <v>20</v>
      </c>
      <c r="E133" s="76">
        <v>16</v>
      </c>
      <c r="F133" s="77">
        <v>166</v>
      </c>
      <c r="G133" s="92" t="s">
        <v>302</v>
      </c>
      <c r="H133" s="194">
        <v>100602695</v>
      </c>
      <c r="I133" s="166">
        <v>2280.0885011251198</v>
      </c>
      <c r="J133" s="213">
        <v>100588119</v>
      </c>
      <c r="K133" s="33">
        <v>2410</v>
      </c>
      <c r="L133" s="76" t="s">
        <v>23</v>
      </c>
      <c r="M133" s="81">
        <v>2900</v>
      </c>
      <c r="N133" s="81">
        <v>174</v>
      </c>
      <c r="O133" s="82">
        <f>0.43*0.31*1.58</f>
        <v>0.21061400000000002</v>
      </c>
    </row>
    <row r="134" spans="1:15" s="47" customFormat="1" ht="18" customHeight="1" thickBot="1" x14ac:dyDescent="0.3">
      <c r="A134" s="104"/>
      <c r="B134" s="29" t="s">
        <v>1097</v>
      </c>
      <c r="C134" s="76">
        <v>15</v>
      </c>
      <c r="D134" s="77">
        <v>20</v>
      </c>
      <c r="E134" s="76">
        <v>16</v>
      </c>
      <c r="F134" s="77">
        <v>189</v>
      </c>
      <c r="G134" s="92" t="s">
        <v>302</v>
      </c>
      <c r="H134" s="194">
        <v>100602696</v>
      </c>
      <c r="I134" s="166">
        <v>2340</v>
      </c>
      <c r="J134" s="213">
        <v>100588120</v>
      </c>
      <c r="K134" s="33">
        <v>2470</v>
      </c>
      <c r="L134" s="76" t="s">
        <v>23</v>
      </c>
      <c r="M134" s="81">
        <v>2900</v>
      </c>
      <c r="N134" s="81">
        <v>178</v>
      </c>
      <c r="O134" s="82">
        <f>0.43*0.31*1.67</f>
        <v>0.222611</v>
      </c>
    </row>
    <row r="135" spans="1:15" s="47" customFormat="1" ht="18" customHeight="1" thickBot="1" x14ac:dyDescent="0.3">
      <c r="A135" s="104"/>
      <c r="B135" s="29" t="s">
        <v>1096</v>
      </c>
      <c r="C135" s="76">
        <v>1.1000000000000001</v>
      </c>
      <c r="D135" s="77">
        <v>1.5</v>
      </c>
      <c r="E135" s="76">
        <v>20</v>
      </c>
      <c r="F135" s="77">
        <v>10</v>
      </c>
      <c r="G135" s="92" t="s">
        <v>302</v>
      </c>
      <c r="H135" s="194">
        <v>100602053</v>
      </c>
      <c r="I135" s="166">
        <v>553.85665407213128</v>
      </c>
      <c r="J135" s="213">
        <v>100588121</v>
      </c>
      <c r="K135" s="33">
        <v>641.59230038399994</v>
      </c>
      <c r="L135" s="76" t="s">
        <v>23</v>
      </c>
      <c r="M135" s="81">
        <v>2900</v>
      </c>
      <c r="N135" s="81">
        <v>33</v>
      </c>
      <c r="O135" s="82">
        <f>0.32*0.31*0.65</f>
        <v>6.4479999999999996E-2</v>
      </c>
    </row>
    <row r="136" spans="1:15" s="47" customFormat="1" ht="18" customHeight="1" thickBot="1" x14ac:dyDescent="0.3">
      <c r="A136" s="104"/>
      <c r="B136" s="29" t="s">
        <v>1095</v>
      </c>
      <c r="C136" s="76">
        <v>2.2000000000000002</v>
      </c>
      <c r="D136" s="77">
        <v>3</v>
      </c>
      <c r="E136" s="76">
        <v>20</v>
      </c>
      <c r="F136" s="77">
        <v>23</v>
      </c>
      <c r="G136" s="92" t="s">
        <v>302</v>
      </c>
      <c r="H136" s="194">
        <v>100601397</v>
      </c>
      <c r="I136" s="166">
        <v>745.03673093404802</v>
      </c>
      <c r="J136" s="213">
        <v>100588122</v>
      </c>
      <c r="K136" s="33">
        <v>873</v>
      </c>
      <c r="L136" s="76" t="s">
        <v>23</v>
      </c>
      <c r="M136" s="81">
        <v>2900</v>
      </c>
      <c r="N136" s="81">
        <v>42</v>
      </c>
      <c r="O136" s="82">
        <f>0.33*0.31*0.71</f>
        <v>7.2633000000000003E-2</v>
      </c>
    </row>
    <row r="137" spans="1:15" s="47" customFormat="1" ht="18" customHeight="1" thickBot="1" x14ac:dyDescent="0.3">
      <c r="A137" s="104"/>
      <c r="B137" s="29" t="s">
        <v>1094</v>
      </c>
      <c r="C137" s="76">
        <v>4</v>
      </c>
      <c r="D137" s="77">
        <v>5.5</v>
      </c>
      <c r="E137" s="76">
        <v>20</v>
      </c>
      <c r="F137" s="77">
        <v>35</v>
      </c>
      <c r="G137" s="92" t="s">
        <v>302</v>
      </c>
      <c r="H137" s="194">
        <v>100602697</v>
      </c>
      <c r="I137" s="166">
        <v>939</v>
      </c>
      <c r="J137" s="213">
        <v>100588123</v>
      </c>
      <c r="K137" s="33">
        <v>1064</v>
      </c>
      <c r="L137" s="76" t="s">
        <v>23</v>
      </c>
      <c r="M137" s="81">
        <v>2900</v>
      </c>
      <c r="N137" s="81">
        <v>58</v>
      </c>
      <c r="O137" s="82">
        <f>0.36*0.31*0.83</f>
        <v>9.2627999999999988E-2</v>
      </c>
    </row>
    <row r="138" spans="1:15" s="47" customFormat="1" ht="18" customHeight="1" thickBot="1" x14ac:dyDescent="0.3">
      <c r="A138" s="104"/>
      <c r="B138" s="29" t="s">
        <v>1093</v>
      </c>
      <c r="C138" s="76">
        <v>5.5</v>
      </c>
      <c r="D138" s="77">
        <v>7.5</v>
      </c>
      <c r="E138" s="76">
        <v>20</v>
      </c>
      <c r="F138" s="77">
        <v>47</v>
      </c>
      <c r="G138" s="92" t="s">
        <v>302</v>
      </c>
      <c r="H138" s="194">
        <v>100602054</v>
      </c>
      <c r="I138" s="166">
        <v>1240</v>
      </c>
      <c r="J138" s="213">
        <v>100588124</v>
      </c>
      <c r="K138" s="33">
        <v>1367</v>
      </c>
      <c r="L138" s="76" t="s">
        <v>23</v>
      </c>
      <c r="M138" s="81">
        <v>2900</v>
      </c>
      <c r="N138" s="81">
        <v>74</v>
      </c>
      <c r="O138" s="82">
        <f>0.38*0.31*0.93</f>
        <v>0.10955400000000001</v>
      </c>
    </row>
    <row r="139" spans="1:15" s="47" customFormat="1" ht="18" customHeight="1" thickBot="1" x14ac:dyDescent="0.3">
      <c r="A139" s="104"/>
      <c r="B139" s="29" t="s">
        <v>1092</v>
      </c>
      <c r="C139" s="76">
        <v>5.5</v>
      </c>
      <c r="D139" s="77">
        <v>7.5</v>
      </c>
      <c r="E139" s="76">
        <v>20</v>
      </c>
      <c r="F139" s="77">
        <v>58</v>
      </c>
      <c r="G139" s="92" t="s">
        <v>302</v>
      </c>
      <c r="H139" s="194">
        <v>100601398</v>
      </c>
      <c r="I139" s="166">
        <v>1268.9672234289121</v>
      </c>
      <c r="J139" s="213">
        <v>100588125</v>
      </c>
      <c r="K139" s="33">
        <v>1397</v>
      </c>
      <c r="L139" s="76" t="s">
        <v>23</v>
      </c>
      <c r="M139" s="81">
        <v>2900</v>
      </c>
      <c r="N139" s="81">
        <v>76</v>
      </c>
      <c r="O139" s="82">
        <f>0.38*0.31*0.97</f>
        <v>0.11426599999999999</v>
      </c>
    </row>
    <row r="140" spans="1:15" s="47" customFormat="1" ht="18" customHeight="1" thickBot="1" x14ac:dyDescent="0.3">
      <c r="A140" s="104"/>
      <c r="B140" s="29" t="s">
        <v>1091</v>
      </c>
      <c r="C140" s="76">
        <v>7.5</v>
      </c>
      <c r="D140" s="77">
        <v>10</v>
      </c>
      <c r="E140" s="76">
        <v>20</v>
      </c>
      <c r="F140" s="77">
        <v>70</v>
      </c>
      <c r="G140" s="92" t="s">
        <v>302</v>
      </c>
      <c r="H140" s="194">
        <v>100602698</v>
      </c>
      <c r="I140" s="166">
        <v>1383.5060442276192</v>
      </c>
      <c r="J140" s="213">
        <v>100588126</v>
      </c>
      <c r="K140" s="33">
        <v>1512</v>
      </c>
      <c r="L140" s="76" t="s">
        <v>23</v>
      </c>
      <c r="M140" s="81">
        <v>2900</v>
      </c>
      <c r="N140" s="81">
        <v>82</v>
      </c>
      <c r="O140" s="82">
        <f>0.38*0.31*1.02</f>
        <v>0.120156</v>
      </c>
    </row>
    <row r="141" spans="1:15" s="47" customFormat="1" ht="18" customHeight="1" thickBot="1" x14ac:dyDescent="0.3">
      <c r="A141" s="104"/>
      <c r="B141" s="29" t="s">
        <v>1090</v>
      </c>
      <c r="C141" s="76">
        <v>7.5</v>
      </c>
      <c r="D141" s="77">
        <v>10</v>
      </c>
      <c r="E141" s="76">
        <v>20</v>
      </c>
      <c r="F141" s="77">
        <v>82</v>
      </c>
      <c r="G141" s="92" t="s">
        <v>302</v>
      </c>
      <c r="H141" s="194">
        <v>100601399</v>
      </c>
      <c r="I141" s="166">
        <v>1415</v>
      </c>
      <c r="J141" s="213">
        <v>100588127</v>
      </c>
      <c r="K141" s="33">
        <v>1519.762297536</v>
      </c>
      <c r="L141" s="76" t="s">
        <v>23</v>
      </c>
      <c r="M141" s="81">
        <v>2900</v>
      </c>
      <c r="N141" s="81">
        <v>84</v>
      </c>
      <c r="O141" s="82">
        <f>0.38*0.31*1.06</f>
        <v>0.12486800000000001</v>
      </c>
    </row>
    <row r="142" spans="1:15" s="47" customFormat="1" ht="18" customHeight="1" thickBot="1" x14ac:dyDescent="0.3">
      <c r="A142" s="104"/>
      <c r="B142" s="29" t="s">
        <v>1089</v>
      </c>
      <c r="C142" s="76">
        <v>11</v>
      </c>
      <c r="D142" s="77">
        <v>15</v>
      </c>
      <c r="E142" s="76">
        <v>20</v>
      </c>
      <c r="F142" s="77">
        <v>94</v>
      </c>
      <c r="G142" s="92" t="s">
        <v>302</v>
      </c>
      <c r="H142" s="194">
        <v>100602699</v>
      </c>
      <c r="I142" s="166">
        <v>2120</v>
      </c>
      <c r="J142" s="213">
        <v>100588128</v>
      </c>
      <c r="K142" s="33">
        <v>2250</v>
      </c>
      <c r="L142" s="76" t="s">
        <v>23</v>
      </c>
      <c r="M142" s="81">
        <v>2900</v>
      </c>
      <c r="N142" s="81">
        <v>153</v>
      </c>
      <c r="O142" s="82">
        <f>0.43*0.31*1.31</f>
        <v>0.174623</v>
      </c>
    </row>
    <row r="143" spans="1:15" s="47" customFormat="1" ht="18" customHeight="1" thickBot="1" x14ac:dyDescent="0.3">
      <c r="A143" s="104"/>
      <c r="B143" s="29" t="s">
        <v>1088</v>
      </c>
      <c r="C143" s="76">
        <v>11</v>
      </c>
      <c r="D143" s="77">
        <v>15</v>
      </c>
      <c r="E143" s="76">
        <v>20</v>
      </c>
      <c r="F143" s="77">
        <v>118</v>
      </c>
      <c r="G143" s="92" t="s">
        <v>302</v>
      </c>
      <c r="H143" s="194">
        <v>100602700</v>
      </c>
      <c r="I143" s="166">
        <v>2180</v>
      </c>
      <c r="J143" s="213">
        <v>100588129</v>
      </c>
      <c r="K143" s="33">
        <v>2310</v>
      </c>
      <c r="L143" s="76" t="s">
        <v>23</v>
      </c>
      <c r="M143" s="81">
        <v>2900</v>
      </c>
      <c r="N143" s="81">
        <v>157</v>
      </c>
      <c r="O143" s="82">
        <f>0.43*0.31*1.4</f>
        <v>0.18661999999999998</v>
      </c>
    </row>
    <row r="144" spans="1:15" s="47" customFormat="1" ht="18" customHeight="1" thickBot="1" x14ac:dyDescent="0.3">
      <c r="A144" s="104"/>
      <c r="B144" s="29" t="s">
        <v>1087</v>
      </c>
      <c r="C144" s="76">
        <v>15</v>
      </c>
      <c r="D144" s="77">
        <v>20</v>
      </c>
      <c r="E144" s="76">
        <v>20</v>
      </c>
      <c r="F144" s="77">
        <v>142</v>
      </c>
      <c r="G144" s="92" t="s">
        <v>302</v>
      </c>
      <c r="H144" s="194">
        <v>100602701</v>
      </c>
      <c r="I144" s="166">
        <v>2300</v>
      </c>
      <c r="J144" s="213">
        <v>100588130</v>
      </c>
      <c r="K144" s="33">
        <v>2420</v>
      </c>
      <c r="L144" s="76" t="s">
        <v>23</v>
      </c>
      <c r="M144" s="81">
        <v>2900</v>
      </c>
      <c r="N144" s="81">
        <v>170</v>
      </c>
      <c r="O144" s="82">
        <f>0.43*0.31*1.49</f>
        <v>0.19861699999999999</v>
      </c>
    </row>
    <row r="145" spans="1:15" s="47" customFormat="1" ht="18" customHeight="1" thickBot="1" x14ac:dyDescent="0.3">
      <c r="A145" s="104"/>
      <c r="B145" s="29" t="s">
        <v>1086</v>
      </c>
      <c r="C145" s="76">
        <v>15</v>
      </c>
      <c r="D145" s="77">
        <v>20</v>
      </c>
      <c r="E145" s="76">
        <v>20</v>
      </c>
      <c r="F145" s="77">
        <v>166</v>
      </c>
      <c r="G145" s="92" t="s">
        <v>302</v>
      </c>
      <c r="H145" s="194">
        <v>100602702</v>
      </c>
      <c r="I145" s="166">
        <v>2390</v>
      </c>
      <c r="J145" s="213">
        <v>100588131</v>
      </c>
      <c r="K145" s="33">
        <v>2520</v>
      </c>
      <c r="L145" s="76" t="s">
        <v>23</v>
      </c>
      <c r="M145" s="81">
        <v>2900</v>
      </c>
      <c r="N145" s="81">
        <v>172</v>
      </c>
      <c r="O145" s="82">
        <f>0.43*0.31*1.58</f>
        <v>0.21061400000000002</v>
      </c>
    </row>
    <row r="146" spans="1:15" s="47" customFormat="1" ht="18" customHeight="1" thickBot="1" x14ac:dyDescent="0.3">
      <c r="A146" s="104"/>
      <c r="B146" s="29" t="s">
        <v>1085</v>
      </c>
      <c r="C146" s="76">
        <v>18.5</v>
      </c>
      <c r="D146" s="77">
        <v>25</v>
      </c>
      <c r="E146" s="76">
        <v>20</v>
      </c>
      <c r="F146" s="77">
        <v>202</v>
      </c>
      <c r="G146" s="92" t="s">
        <v>302</v>
      </c>
      <c r="H146" s="194">
        <v>100602703</v>
      </c>
      <c r="I146" s="166">
        <v>2640</v>
      </c>
      <c r="J146" s="213">
        <v>100588132</v>
      </c>
      <c r="K146" s="33">
        <v>2760</v>
      </c>
      <c r="L146" s="76" t="s">
        <v>23</v>
      </c>
      <c r="M146" s="81">
        <v>2900</v>
      </c>
      <c r="N146" s="81">
        <v>195</v>
      </c>
      <c r="O146" s="82">
        <f>0.43*0.31*1.76</f>
        <v>0.23460800000000001</v>
      </c>
    </row>
    <row r="147" spans="1:15" s="47" customFormat="1" ht="18" customHeight="1" thickBot="1" x14ac:dyDescent="0.3">
      <c r="A147" s="104"/>
      <c r="B147" s="84" t="s">
        <v>1084</v>
      </c>
      <c r="C147" s="76">
        <v>1.5</v>
      </c>
      <c r="D147" s="77">
        <v>2</v>
      </c>
      <c r="E147" s="76">
        <v>32</v>
      </c>
      <c r="F147" s="77">
        <v>9</v>
      </c>
      <c r="G147" s="92" t="s">
        <v>303</v>
      </c>
      <c r="H147" s="192">
        <v>100602704</v>
      </c>
      <c r="I147" s="85">
        <v>956.7465109017985</v>
      </c>
      <c r="J147" s="212"/>
      <c r="K147" s="86">
        <v>1143.2510308799999</v>
      </c>
      <c r="L147" s="76" t="s">
        <v>23</v>
      </c>
      <c r="M147" s="81">
        <v>2900</v>
      </c>
      <c r="N147" s="81">
        <v>64</v>
      </c>
      <c r="O147" s="82">
        <f>0.34*0.36*0.82</f>
        <v>0.100368</v>
      </c>
    </row>
    <row r="148" spans="1:15" s="47" customFormat="1" ht="18" customHeight="1" thickBot="1" x14ac:dyDescent="0.3">
      <c r="A148" s="104"/>
      <c r="B148" s="84" t="s">
        <v>1083</v>
      </c>
      <c r="C148" s="76">
        <v>2.2000000000000002</v>
      </c>
      <c r="D148" s="77">
        <v>3</v>
      </c>
      <c r="E148" s="76">
        <v>32</v>
      </c>
      <c r="F148" s="77">
        <v>13</v>
      </c>
      <c r="G148" s="92" t="s">
        <v>303</v>
      </c>
      <c r="H148" s="192">
        <v>100602705</v>
      </c>
      <c r="I148" s="85">
        <v>984.31242461657291</v>
      </c>
      <c r="J148" s="211"/>
      <c r="K148" s="86">
        <v>1170.8191020960003</v>
      </c>
      <c r="L148" s="76" t="s">
        <v>23</v>
      </c>
      <c r="M148" s="81">
        <v>2900</v>
      </c>
      <c r="N148" s="81">
        <v>68</v>
      </c>
      <c r="O148" s="82">
        <f>0.34*0.36*0.82</f>
        <v>0.100368</v>
      </c>
    </row>
    <row r="149" spans="1:15" s="47" customFormat="1" ht="18" customHeight="1" thickBot="1" x14ac:dyDescent="0.3">
      <c r="A149" s="104"/>
      <c r="B149" s="29" t="s">
        <v>1082</v>
      </c>
      <c r="C149" s="76">
        <v>3</v>
      </c>
      <c r="D149" s="77">
        <v>4</v>
      </c>
      <c r="E149" s="76">
        <v>32</v>
      </c>
      <c r="F149" s="77">
        <v>20</v>
      </c>
      <c r="G149" s="92" t="s">
        <v>303</v>
      </c>
      <c r="H149" s="194">
        <v>100601400</v>
      </c>
      <c r="I149" s="166">
        <v>1132</v>
      </c>
      <c r="J149" s="211"/>
      <c r="K149" s="86">
        <v>1317.6558239039998</v>
      </c>
      <c r="L149" s="76" t="s">
        <v>23</v>
      </c>
      <c r="M149" s="81">
        <v>2900</v>
      </c>
      <c r="N149" s="81">
        <v>77</v>
      </c>
      <c r="O149" s="82">
        <f>0.35*0.36*0.94</f>
        <v>0.11843999999999999</v>
      </c>
    </row>
    <row r="150" spans="1:15" s="47" customFormat="1" ht="18" customHeight="1" thickBot="1" x14ac:dyDescent="0.3">
      <c r="A150" s="104"/>
      <c r="B150" s="29" t="s">
        <v>1081</v>
      </c>
      <c r="C150" s="76">
        <v>4</v>
      </c>
      <c r="D150" s="77">
        <v>5.5</v>
      </c>
      <c r="E150" s="76">
        <v>32</v>
      </c>
      <c r="F150" s="77">
        <v>27</v>
      </c>
      <c r="G150" s="92" t="s">
        <v>303</v>
      </c>
      <c r="H150" s="194">
        <v>100601401</v>
      </c>
      <c r="I150" s="166">
        <v>1202</v>
      </c>
      <c r="J150" s="211"/>
      <c r="K150" s="86">
        <v>1391.675427072</v>
      </c>
      <c r="L150" s="76" t="s">
        <v>23</v>
      </c>
      <c r="M150" s="81">
        <v>2900</v>
      </c>
      <c r="N150" s="81">
        <v>85</v>
      </c>
      <c r="O150" s="82">
        <f>0.37*0.36*0.95</f>
        <v>0.12653999999999999</v>
      </c>
    </row>
    <row r="151" spans="1:15" s="47" customFormat="1" ht="18" customHeight="1" thickBot="1" x14ac:dyDescent="0.3">
      <c r="A151" s="104"/>
      <c r="B151" s="29" t="s">
        <v>1080</v>
      </c>
      <c r="C151" s="76">
        <v>5.5</v>
      </c>
      <c r="D151" s="77">
        <v>7.5</v>
      </c>
      <c r="E151" s="76">
        <v>32</v>
      </c>
      <c r="F151" s="77">
        <v>33</v>
      </c>
      <c r="G151" s="92" t="s">
        <v>303</v>
      </c>
      <c r="H151" s="194">
        <v>100602706</v>
      </c>
      <c r="I151" s="166">
        <v>1477.6932938346433</v>
      </c>
      <c r="J151" s="211"/>
      <c r="K151" s="86">
        <v>1667.8460403359998</v>
      </c>
      <c r="L151" s="76" t="s">
        <v>23</v>
      </c>
      <c r="M151" s="81">
        <v>2900</v>
      </c>
      <c r="N151" s="81">
        <v>100</v>
      </c>
      <c r="O151" s="82">
        <f>0.39*0.36*1.06</f>
        <v>0.14882400000000001</v>
      </c>
    </row>
    <row r="152" spans="1:15" s="47" customFormat="1" ht="18" customHeight="1" thickBot="1" x14ac:dyDescent="0.3">
      <c r="A152" s="104"/>
      <c r="B152" s="29" t="s">
        <v>1079</v>
      </c>
      <c r="C152" s="76">
        <v>5.5</v>
      </c>
      <c r="D152" s="77">
        <v>7.5</v>
      </c>
      <c r="E152" s="76">
        <v>32</v>
      </c>
      <c r="F152" s="77">
        <v>40</v>
      </c>
      <c r="G152" s="92" t="s">
        <v>303</v>
      </c>
      <c r="H152" s="194">
        <v>100601402</v>
      </c>
      <c r="I152" s="166">
        <v>1477</v>
      </c>
      <c r="J152" s="211"/>
      <c r="K152" s="86">
        <v>1667.8460403359998</v>
      </c>
      <c r="L152" s="76" t="s">
        <v>23</v>
      </c>
      <c r="M152" s="81">
        <v>2900</v>
      </c>
      <c r="N152" s="81">
        <v>100</v>
      </c>
      <c r="O152" s="82">
        <f>0.39*0.36*1.06</f>
        <v>0.14882400000000001</v>
      </c>
    </row>
    <row r="153" spans="1:15" s="47" customFormat="1" ht="18" customHeight="1" thickBot="1" x14ac:dyDescent="0.3">
      <c r="A153" s="104"/>
      <c r="B153" s="29" t="s">
        <v>1078</v>
      </c>
      <c r="C153" s="76">
        <v>7.5</v>
      </c>
      <c r="D153" s="77">
        <v>10</v>
      </c>
      <c r="E153" s="76">
        <v>32</v>
      </c>
      <c r="F153" s="77">
        <v>46</v>
      </c>
      <c r="G153" s="92" t="s">
        <v>303</v>
      </c>
      <c r="H153" s="194">
        <v>100602707</v>
      </c>
      <c r="I153" s="166">
        <v>1601.5840401262465</v>
      </c>
      <c r="J153" s="211"/>
      <c r="K153" s="86">
        <v>1791.4347279359997</v>
      </c>
      <c r="L153" s="76" t="s">
        <v>23</v>
      </c>
      <c r="M153" s="81">
        <v>2900</v>
      </c>
      <c r="N153" s="81">
        <v>109</v>
      </c>
      <c r="O153" s="82">
        <f>0.39*0.36*1.13</f>
        <v>0.15865199999999999</v>
      </c>
    </row>
    <row r="154" spans="1:15" s="47" customFormat="1" ht="18" customHeight="1" thickBot="1" x14ac:dyDescent="0.3">
      <c r="A154" s="104"/>
      <c r="B154" s="29" t="s">
        <v>1077</v>
      </c>
      <c r="C154" s="76">
        <v>7.5</v>
      </c>
      <c r="D154" s="77">
        <v>10</v>
      </c>
      <c r="E154" s="76">
        <v>32</v>
      </c>
      <c r="F154" s="77">
        <v>53</v>
      </c>
      <c r="G154" s="92" t="s">
        <v>303</v>
      </c>
      <c r="H154" s="194">
        <v>100601403</v>
      </c>
      <c r="I154" s="166">
        <v>1601.5840401262465</v>
      </c>
      <c r="J154" s="211">
        <v>100603719</v>
      </c>
      <c r="K154" s="86">
        <v>1791.4347279359997</v>
      </c>
      <c r="L154" s="76" t="s">
        <v>23</v>
      </c>
      <c r="M154" s="81">
        <v>2900</v>
      </c>
      <c r="N154" s="81">
        <v>109</v>
      </c>
      <c r="O154" s="82">
        <f>0.39*0.36*1.13</f>
        <v>0.15865199999999999</v>
      </c>
    </row>
    <row r="155" spans="1:15" s="47" customFormat="1" ht="18" customHeight="1" thickBot="1" x14ac:dyDescent="0.3">
      <c r="A155" s="104"/>
      <c r="B155" s="29" t="s">
        <v>1076</v>
      </c>
      <c r="C155" s="76">
        <v>11</v>
      </c>
      <c r="D155" s="77">
        <v>15</v>
      </c>
      <c r="E155" s="76">
        <v>32</v>
      </c>
      <c r="F155" s="77">
        <v>60</v>
      </c>
      <c r="G155" s="92" t="s">
        <v>303</v>
      </c>
      <c r="H155" s="194">
        <v>100602708</v>
      </c>
      <c r="I155" s="166">
        <v>2420</v>
      </c>
      <c r="J155" s="211"/>
      <c r="K155" s="86">
        <v>2602.3101279840002</v>
      </c>
      <c r="L155" s="76" t="s">
        <v>23</v>
      </c>
      <c r="M155" s="81">
        <v>2900</v>
      </c>
      <c r="N155" s="81">
        <v>181</v>
      </c>
      <c r="O155" s="82">
        <f>0.44*0.36*1.41</f>
        <v>0.22334399999999996</v>
      </c>
    </row>
    <row r="156" spans="1:15" s="47" customFormat="1" ht="18" customHeight="1" thickBot="1" x14ac:dyDescent="0.3">
      <c r="A156" s="104"/>
      <c r="B156" s="29" t="s">
        <v>1075</v>
      </c>
      <c r="C156" s="76">
        <v>11</v>
      </c>
      <c r="D156" s="77">
        <v>15</v>
      </c>
      <c r="E156" s="76">
        <v>32</v>
      </c>
      <c r="F156" s="77">
        <v>67</v>
      </c>
      <c r="G156" s="92" t="s">
        <v>303</v>
      </c>
      <c r="H156" s="194">
        <v>100601404</v>
      </c>
      <c r="I156" s="166">
        <v>2420</v>
      </c>
      <c r="J156" s="211"/>
      <c r="K156" s="86">
        <v>2602.3101279840002</v>
      </c>
      <c r="L156" s="76" t="s">
        <v>23</v>
      </c>
      <c r="M156" s="81">
        <v>2900</v>
      </c>
      <c r="N156" s="81">
        <v>181</v>
      </c>
      <c r="O156" s="82">
        <f>0.44*0.36*1.41</f>
        <v>0.22334399999999996</v>
      </c>
    </row>
    <row r="157" spans="1:15" s="47" customFormat="1" ht="18" customHeight="1" thickBot="1" x14ac:dyDescent="0.3">
      <c r="A157" s="104"/>
      <c r="B157" s="84" t="s">
        <v>1074</v>
      </c>
      <c r="C157" s="76">
        <v>11</v>
      </c>
      <c r="D157" s="77">
        <v>15</v>
      </c>
      <c r="E157" s="76">
        <v>32</v>
      </c>
      <c r="F157" s="77">
        <v>74</v>
      </c>
      <c r="G157" s="92" t="s">
        <v>303</v>
      </c>
      <c r="H157" s="192">
        <v>100602709</v>
      </c>
      <c r="I157" s="85">
        <v>2478.8391843384293</v>
      </c>
      <c r="J157" s="211"/>
      <c r="K157" s="86">
        <v>2668.4467770239999</v>
      </c>
      <c r="L157" s="76" t="s">
        <v>23</v>
      </c>
      <c r="M157" s="81">
        <v>2900</v>
      </c>
      <c r="N157" s="81">
        <v>185</v>
      </c>
      <c r="O157" s="82">
        <f>0.44*0.36*1.48</f>
        <v>0.23443199999999997</v>
      </c>
    </row>
    <row r="158" spans="1:15" s="47" customFormat="1" ht="18" customHeight="1" thickBot="1" x14ac:dyDescent="0.3">
      <c r="A158" s="104"/>
      <c r="B158" s="84" t="s">
        <v>1073</v>
      </c>
      <c r="C158" s="76">
        <v>11</v>
      </c>
      <c r="D158" s="77">
        <v>15</v>
      </c>
      <c r="E158" s="76">
        <v>32</v>
      </c>
      <c r="F158" s="77">
        <v>81</v>
      </c>
      <c r="G158" s="92" t="s">
        <v>303</v>
      </c>
      <c r="H158" s="192">
        <v>100602710</v>
      </c>
      <c r="I158" s="85">
        <v>2478.8391843384293</v>
      </c>
      <c r="J158" s="212"/>
      <c r="K158" s="86">
        <v>2668.4467770239999</v>
      </c>
      <c r="L158" s="76" t="s">
        <v>23</v>
      </c>
      <c r="M158" s="81">
        <v>2900</v>
      </c>
      <c r="N158" s="81">
        <v>185</v>
      </c>
      <c r="O158" s="82">
        <f>0.44*0.36*1.48</f>
        <v>0.23443199999999997</v>
      </c>
    </row>
    <row r="159" spans="1:15" s="47" customFormat="1" ht="18" customHeight="1" thickBot="1" x14ac:dyDescent="0.3">
      <c r="A159" s="104"/>
      <c r="B159" s="84" t="s">
        <v>1072</v>
      </c>
      <c r="C159" s="76">
        <v>15</v>
      </c>
      <c r="D159" s="77">
        <v>20</v>
      </c>
      <c r="E159" s="76">
        <v>32</v>
      </c>
      <c r="F159" s="77">
        <v>88</v>
      </c>
      <c r="G159" s="92" t="s">
        <v>303</v>
      </c>
      <c r="H159" s="192">
        <v>100602711</v>
      </c>
      <c r="I159" s="85">
        <v>2602.1064689305058</v>
      </c>
      <c r="J159" s="212"/>
      <c r="K159" s="86">
        <v>2792.3472198719992</v>
      </c>
      <c r="L159" s="76" t="s">
        <v>23</v>
      </c>
      <c r="M159" s="81">
        <v>2900</v>
      </c>
      <c r="N159" s="81">
        <v>199</v>
      </c>
      <c r="O159" s="82">
        <f>0.44*0.36*1.55</f>
        <v>0.24551999999999999</v>
      </c>
    </row>
    <row r="160" spans="1:15" s="47" customFormat="1" ht="18" customHeight="1" thickBot="1" x14ac:dyDescent="0.3">
      <c r="A160" s="104"/>
      <c r="B160" s="84" t="s">
        <v>1071</v>
      </c>
      <c r="C160" s="76">
        <v>15</v>
      </c>
      <c r="D160" s="77">
        <v>20</v>
      </c>
      <c r="E160" s="76">
        <v>32</v>
      </c>
      <c r="F160" s="77">
        <v>95</v>
      </c>
      <c r="G160" s="92" t="s">
        <v>303</v>
      </c>
      <c r="H160" s="192">
        <v>100602712</v>
      </c>
      <c r="I160" s="85">
        <v>2602.1064689305058</v>
      </c>
      <c r="J160" s="212"/>
      <c r="K160" s="86">
        <v>2792.3472198719992</v>
      </c>
      <c r="L160" s="76" t="s">
        <v>23</v>
      </c>
      <c r="M160" s="81">
        <v>2900</v>
      </c>
      <c r="N160" s="81">
        <v>199</v>
      </c>
      <c r="O160" s="82">
        <f>0.44*0.36*1.55</f>
        <v>0.24551999999999999</v>
      </c>
    </row>
    <row r="161" spans="1:15" s="47" customFormat="1" ht="18" customHeight="1" thickBot="1" x14ac:dyDescent="0.3">
      <c r="A161" s="104"/>
      <c r="B161" s="84" t="s">
        <v>1070</v>
      </c>
      <c r="C161" s="76">
        <v>15</v>
      </c>
      <c r="D161" s="77">
        <v>20</v>
      </c>
      <c r="E161" s="76">
        <v>32</v>
      </c>
      <c r="F161" s="77">
        <v>102</v>
      </c>
      <c r="G161" s="92" t="s">
        <v>303</v>
      </c>
      <c r="H161" s="192">
        <v>100602713</v>
      </c>
      <c r="I161" s="85">
        <v>2670.8208548140224</v>
      </c>
      <c r="J161" s="212"/>
      <c r="K161" s="86">
        <v>2861.0669838240001</v>
      </c>
      <c r="L161" s="76" t="s">
        <v>23</v>
      </c>
      <c r="M161" s="81">
        <v>2900</v>
      </c>
      <c r="N161" s="81">
        <v>203</v>
      </c>
      <c r="O161" s="82">
        <f>0.44*0.36*1.62</f>
        <v>0.256608</v>
      </c>
    </row>
    <row r="162" spans="1:15" s="47" customFormat="1" ht="18" customHeight="1" thickBot="1" x14ac:dyDescent="0.3">
      <c r="A162" s="104"/>
      <c r="B162" s="84" t="s">
        <v>1069</v>
      </c>
      <c r="C162" s="76">
        <v>15</v>
      </c>
      <c r="D162" s="77">
        <v>20</v>
      </c>
      <c r="E162" s="76">
        <v>32</v>
      </c>
      <c r="F162" s="77">
        <v>109</v>
      </c>
      <c r="G162" s="92" t="s">
        <v>303</v>
      </c>
      <c r="H162" s="192">
        <v>100602714</v>
      </c>
      <c r="I162" s="85">
        <v>2670.8208548140224</v>
      </c>
      <c r="J162" s="212"/>
      <c r="K162" s="86">
        <v>2861.0669838240001</v>
      </c>
      <c r="L162" s="76" t="s">
        <v>23</v>
      </c>
      <c r="M162" s="81">
        <v>2900</v>
      </c>
      <c r="N162" s="81">
        <v>203</v>
      </c>
      <c r="O162" s="82">
        <f>0.44*0.36*1.62</f>
        <v>0.256608</v>
      </c>
    </row>
    <row r="163" spans="1:15" s="47" customFormat="1" ht="18" customHeight="1" thickBot="1" x14ac:dyDescent="0.3">
      <c r="A163" s="104"/>
      <c r="B163" s="84" t="s">
        <v>1068</v>
      </c>
      <c r="C163" s="76">
        <v>18.5</v>
      </c>
      <c r="D163" s="77">
        <v>25</v>
      </c>
      <c r="E163" s="76">
        <v>32</v>
      </c>
      <c r="F163" s="77">
        <v>117</v>
      </c>
      <c r="G163" s="92" t="s">
        <v>303</v>
      </c>
      <c r="H163" s="192">
        <v>100602715</v>
      </c>
      <c r="I163" s="85">
        <v>2877.0085454431114</v>
      </c>
      <c r="J163" s="212"/>
      <c r="K163" s="86">
        <v>3067.2708121440005</v>
      </c>
      <c r="L163" s="76" t="s">
        <v>23</v>
      </c>
      <c r="M163" s="81">
        <v>2900</v>
      </c>
      <c r="N163" s="81">
        <v>222</v>
      </c>
      <c r="O163" s="82">
        <f>0.44*0.36*1.74</f>
        <v>0.27561599999999997</v>
      </c>
    </row>
    <row r="164" spans="1:15" s="47" customFormat="1" ht="18" customHeight="1" thickBot="1" x14ac:dyDescent="0.3">
      <c r="A164" s="104"/>
      <c r="B164" s="84" t="s">
        <v>1067</v>
      </c>
      <c r="C164" s="76">
        <v>18.5</v>
      </c>
      <c r="D164" s="77">
        <v>25</v>
      </c>
      <c r="E164" s="76">
        <v>32</v>
      </c>
      <c r="F164" s="77">
        <v>124</v>
      </c>
      <c r="G164" s="92" t="s">
        <v>303</v>
      </c>
      <c r="H164" s="192">
        <v>100602716</v>
      </c>
      <c r="I164" s="85">
        <v>2877.0085454431114</v>
      </c>
      <c r="J164" s="212"/>
      <c r="K164" s="86">
        <v>3067.2708121440005</v>
      </c>
      <c r="L164" s="76" t="s">
        <v>23</v>
      </c>
      <c r="M164" s="81">
        <v>2900</v>
      </c>
      <c r="N164" s="81">
        <v>222</v>
      </c>
      <c r="O164" s="82">
        <f>0.44*0.36*1.74</f>
        <v>0.27561599999999997</v>
      </c>
    </row>
    <row r="165" spans="1:15" s="47" customFormat="1" ht="18" customHeight="1" thickBot="1" x14ac:dyDescent="0.3">
      <c r="A165" s="104"/>
      <c r="B165" s="84" t="s">
        <v>1066</v>
      </c>
      <c r="C165" s="76">
        <v>18.5</v>
      </c>
      <c r="D165" s="77">
        <v>25</v>
      </c>
      <c r="E165" s="76">
        <v>32</v>
      </c>
      <c r="F165" s="77">
        <v>131</v>
      </c>
      <c r="G165" s="92" t="s">
        <v>303</v>
      </c>
      <c r="H165" s="192">
        <v>100602717</v>
      </c>
      <c r="I165" s="85">
        <v>2953.4716695921697</v>
      </c>
      <c r="J165" s="212"/>
      <c r="K165" s="86">
        <v>3143.7399208319998</v>
      </c>
      <c r="L165" s="76" t="s">
        <v>23</v>
      </c>
      <c r="M165" s="81">
        <v>2900</v>
      </c>
      <c r="N165" s="81">
        <v>227</v>
      </c>
      <c r="O165" s="82">
        <f>0.44*0.36*1.81</f>
        <v>0.28670399999999996</v>
      </c>
    </row>
    <row r="166" spans="1:15" s="47" customFormat="1" ht="18" customHeight="1" thickBot="1" x14ac:dyDescent="0.3">
      <c r="A166" s="104"/>
      <c r="B166" s="84" t="s">
        <v>1065</v>
      </c>
      <c r="C166" s="76">
        <v>18.5</v>
      </c>
      <c r="D166" s="77">
        <v>25</v>
      </c>
      <c r="E166" s="76">
        <v>32</v>
      </c>
      <c r="F166" s="77">
        <v>138</v>
      </c>
      <c r="G166" s="92" t="s">
        <v>303</v>
      </c>
      <c r="H166" s="192">
        <v>100602718</v>
      </c>
      <c r="I166" s="85">
        <v>2953.4716695921697</v>
      </c>
      <c r="J166" s="212"/>
      <c r="K166" s="86">
        <v>3143.7399208319998</v>
      </c>
      <c r="L166" s="76" t="s">
        <v>23</v>
      </c>
      <c r="M166" s="81">
        <v>2900</v>
      </c>
      <c r="N166" s="81">
        <v>227</v>
      </c>
      <c r="O166" s="82">
        <f>0.44*0.36*1.81</f>
        <v>0.28670399999999996</v>
      </c>
    </row>
    <row r="167" spans="1:15" s="47" customFormat="1" ht="18" customHeight="1" thickBot="1" x14ac:dyDescent="0.3">
      <c r="A167" s="104"/>
      <c r="B167" s="84" t="s">
        <v>1064</v>
      </c>
      <c r="C167" s="76">
        <v>22</v>
      </c>
      <c r="D167" s="77">
        <v>30</v>
      </c>
      <c r="E167" s="76">
        <v>32</v>
      </c>
      <c r="F167" s="77">
        <v>146</v>
      </c>
      <c r="G167" s="92" t="s">
        <v>303</v>
      </c>
      <c r="H167" s="192">
        <v>100602719</v>
      </c>
      <c r="I167" s="85">
        <v>3529.0604171906502</v>
      </c>
      <c r="J167" s="212"/>
      <c r="K167" s="86">
        <v>3720.0417649919996</v>
      </c>
      <c r="L167" s="76" t="s">
        <v>23</v>
      </c>
      <c r="M167" s="81">
        <v>2900</v>
      </c>
      <c r="N167" s="81">
        <v>272</v>
      </c>
      <c r="O167" s="82">
        <f>0.47*0.36*1.91</f>
        <v>0.32317199999999996</v>
      </c>
    </row>
    <row r="168" spans="1:15" s="47" customFormat="1" ht="18" customHeight="1" thickBot="1" x14ac:dyDescent="0.3">
      <c r="A168" s="104"/>
      <c r="B168" s="84" t="s">
        <v>1063</v>
      </c>
      <c r="C168" s="76">
        <v>22</v>
      </c>
      <c r="D168" s="77">
        <v>30</v>
      </c>
      <c r="E168" s="76">
        <v>32</v>
      </c>
      <c r="F168" s="77">
        <v>153</v>
      </c>
      <c r="G168" s="92" t="s">
        <v>303</v>
      </c>
      <c r="H168" s="192">
        <v>100602720</v>
      </c>
      <c r="I168" s="85">
        <v>3529.0604171906502</v>
      </c>
      <c r="J168" s="212"/>
      <c r="K168" s="86">
        <v>3720.0417649919996</v>
      </c>
      <c r="L168" s="76" t="s">
        <v>23</v>
      </c>
      <c r="M168" s="81">
        <v>2900</v>
      </c>
      <c r="N168" s="81">
        <v>272</v>
      </c>
      <c r="O168" s="82">
        <f>0.47*0.36*1.91</f>
        <v>0.32317199999999996</v>
      </c>
    </row>
    <row r="169" spans="1:15" s="47" customFormat="1" ht="18" customHeight="1" thickBot="1" x14ac:dyDescent="0.3">
      <c r="A169" s="104"/>
      <c r="B169" s="29" t="s">
        <v>1062</v>
      </c>
      <c r="C169" s="76">
        <v>22</v>
      </c>
      <c r="D169" s="77">
        <v>30</v>
      </c>
      <c r="E169" s="76">
        <v>32</v>
      </c>
      <c r="F169" s="77">
        <v>160</v>
      </c>
      <c r="G169" s="92" t="s">
        <v>303</v>
      </c>
      <c r="H169" s="192">
        <v>100597823</v>
      </c>
      <c r="I169" s="85">
        <v>3598.7545286019945</v>
      </c>
      <c r="J169" s="213">
        <v>100601303</v>
      </c>
      <c r="K169" s="33">
        <v>3790</v>
      </c>
      <c r="L169" s="76" t="s">
        <v>23</v>
      </c>
      <c r="M169" s="81">
        <v>2900</v>
      </c>
      <c r="N169" s="81">
        <v>276</v>
      </c>
      <c r="O169" s="82">
        <f>0.47*0.36*1.98</f>
        <v>0.33501599999999998</v>
      </c>
    </row>
    <row r="170" spans="1:15" s="47" customFormat="1" ht="18" customHeight="1" thickBot="1" x14ac:dyDescent="0.3">
      <c r="A170" s="104"/>
      <c r="B170" s="84" t="s">
        <v>1061</v>
      </c>
      <c r="C170" s="76">
        <v>22</v>
      </c>
      <c r="D170" s="77">
        <v>30</v>
      </c>
      <c r="E170" s="76">
        <v>32</v>
      </c>
      <c r="F170" s="77">
        <v>167</v>
      </c>
      <c r="G170" s="92" t="s">
        <v>303</v>
      </c>
      <c r="H170" s="192">
        <v>100602721</v>
      </c>
      <c r="I170" s="85">
        <v>3598.7545286019945</v>
      </c>
      <c r="J170" s="212"/>
      <c r="K170" s="86">
        <v>3790</v>
      </c>
      <c r="L170" s="76" t="s">
        <v>23</v>
      </c>
      <c r="M170" s="81">
        <v>2900</v>
      </c>
      <c r="N170" s="81">
        <v>276</v>
      </c>
      <c r="O170" s="82">
        <f>0.47*0.36*1.98</f>
        <v>0.33501599999999998</v>
      </c>
    </row>
    <row r="171" spans="1:15" s="47" customFormat="1" ht="18" customHeight="1" thickBot="1" x14ac:dyDescent="0.3">
      <c r="A171" s="104"/>
      <c r="B171" s="84" t="s">
        <v>1060</v>
      </c>
      <c r="C171" s="76">
        <v>30</v>
      </c>
      <c r="D171" s="77">
        <v>40</v>
      </c>
      <c r="E171" s="76">
        <v>32</v>
      </c>
      <c r="F171" s="77">
        <v>174</v>
      </c>
      <c r="G171" s="92" t="s">
        <v>303</v>
      </c>
      <c r="H171" s="192">
        <v>100602722</v>
      </c>
      <c r="I171" s="107" t="s">
        <v>28</v>
      </c>
      <c r="J171" s="214"/>
      <c r="K171" s="114" t="s">
        <v>28</v>
      </c>
      <c r="L171" s="76" t="s">
        <v>23</v>
      </c>
      <c r="M171" s="81">
        <v>2900</v>
      </c>
      <c r="N171" s="81">
        <v>337</v>
      </c>
      <c r="O171" s="82">
        <f>0.49*0.36*2.12</f>
        <v>0.37396800000000002</v>
      </c>
    </row>
    <row r="172" spans="1:15" s="47" customFormat="1" ht="18" customHeight="1" thickBot="1" x14ac:dyDescent="0.3">
      <c r="A172" s="104"/>
      <c r="B172" s="84" t="s">
        <v>1059</v>
      </c>
      <c r="C172" s="76">
        <v>30</v>
      </c>
      <c r="D172" s="77">
        <v>40</v>
      </c>
      <c r="E172" s="76">
        <v>32</v>
      </c>
      <c r="F172" s="77">
        <v>181</v>
      </c>
      <c r="G172" s="92" t="s">
        <v>303</v>
      </c>
      <c r="H172" s="192">
        <v>100602723</v>
      </c>
      <c r="I172" s="107" t="s">
        <v>28</v>
      </c>
      <c r="J172" s="214"/>
      <c r="K172" s="114" t="s">
        <v>28</v>
      </c>
      <c r="L172" s="76" t="s">
        <v>23</v>
      </c>
      <c r="M172" s="81">
        <v>2900</v>
      </c>
      <c r="N172" s="81">
        <v>337</v>
      </c>
      <c r="O172" s="82">
        <f>0.49*0.36*2.12</f>
        <v>0.37396800000000002</v>
      </c>
    </row>
    <row r="173" spans="1:15" s="47" customFormat="1" ht="18" customHeight="1" thickBot="1" x14ac:dyDescent="0.3">
      <c r="A173" s="104"/>
      <c r="B173" s="84" t="s">
        <v>1058</v>
      </c>
      <c r="C173" s="76">
        <v>30</v>
      </c>
      <c r="D173" s="77">
        <v>40</v>
      </c>
      <c r="E173" s="76">
        <v>32</v>
      </c>
      <c r="F173" s="77">
        <v>189</v>
      </c>
      <c r="G173" s="92" t="s">
        <v>303</v>
      </c>
      <c r="H173" s="192">
        <v>100602724</v>
      </c>
      <c r="I173" s="107" t="s">
        <v>28</v>
      </c>
      <c r="J173" s="214"/>
      <c r="K173" s="114" t="s">
        <v>28</v>
      </c>
      <c r="L173" s="76" t="s">
        <v>23</v>
      </c>
      <c r="M173" s="81">
        <v>2900</v>
      </c>
      <c r="N173" s="81">
        <v>341</v>
      </c>
      <c r="O173" s="82">
        <f>0.49*0.36*2.19</f>
        <v>0.38631599999999999</v>
      </c>
    </row>
    <row r="174" spans="1:15" s="47" customFormat="1" ht="18" customHeight="1" thickBot="1" x14ac:dyDescent="0.3">
      <c r="A174" s="104"/>
      <c r="B174" s="84" t="s">
        <v>1057</v>
      </c>
      <c r="C174" s="76">
        <v>30</v>
      </c>
      <c r="D174" s="77">
        <v>40</v>
      </c>
      <c r="E174" s="76">
        <v>32</v>
      </c>
      <c r="F174" s="77">
        <v>196</v>
      </c>
      <c r="G174" s="92" t="s">
        <v>303</v>
      </c>
      <c r="H174" s="192">
        <v>100602725</v>
      </c>
      <c r="I174" s="107" t="s">
        <v>28</v>
      </c>
      <c r="J174" s="214"/>
      <c r="K174" s="114" t="s">
        <v>28</v>
      </c>
      <c r="L174" s="76" t="s">
        <v>23</v>
      </c>
      <c r="M174" s="81">
        <v>2900</v>
      </c>
      <c r="N174" s="81">
        <v>341</v>
      </c>
      <c r="O174" s="82">
        <f>0.49*0.36*2.19</f>
        <v>0.38631599999999999</v>
      </c>
    </row>
    <row r="175" spans="1:15" s="47" customFormat="1" ht="18" customHeight="1" thickBot="1" x14ac:dyDescent="0.3">
      <c r="A175" s="104"/>
      <c r="B175" s="84" t="s">
        <v>1056</v>
      </c>
      <c r="C175" s="76">
        <v>30</v>
      </c>
      <c r="D175" s="77">
        <v>40</v>
      </c>
      <c r="E175" s="76">
        <v>32</v>
      </c>
      <c r="F175" s="77">
        <v>203</v>
      </c>
      <c r="G175" s="92" t="s">
        <v>303</v>
      </c>
      <c r="H175" s="192">
        <v>100602726</v>
      </c>
      <c r="I175" s="107" t="s">
        <v>28</v>
      </c>
      <c r="J175" s="214"/>
      <c r="K175" s="114" t="s">
        <v>28</v>
      </c>
      <c r="L175" s="76" t="s">
        <v>23</v>
      </c>
      <c r="M175" s="81">
        <v>2900</v>
      </c>
      <c r="N175" s="81">
        <v>345</v>
      </c>
      <c r="O175" s="82">
        <f>0.49*0.36*2.26</f>
        <v>0.39866399999999996</v>
      </c>
    </row>
    <row r="176" spans="1:15" s="47" customFormat="1" ht="18" customHeight="1" thickBot="1" x14ac:dyDescent="0.3">
      <c r="A176" s="104"/>
      <c r="B176" s="84" t="s">
        <v>1055</v>
      </c>
      <c r="C176" s="76">
        <v>30</v>
      </c>
      <c r="D176" s="77">
        <v>40</v>
      </c>
      <c r="E176" s="76">
        <v>32</v>
      </c>
      <c r="F176" s="77">
        <v>210</v>
      </c>
      <c r="G176" s="92" t="s">
        <v>303</v>
      </c>
      <c r="H176" s="192">
        <v>100602727</v>
      </c>
      <c r="I176" s="107" t="s">
        <v>28</v>
      </c>
      <c r="J176" s="214"/>
      <c r="K176" s="114" t="s">
        <v>28</v>
      </c>
      <c r="L176" s="76" t="s">
        <v>23</v>
      </c>
      <c r="M176" s="81">
        <v>2900</v>
      </c>
      <c r="N176" s="81">
        <v>345</v>
      </c>
      <c r="O176" s="82">
        <f>0.49*0.36*2.26</f>
        <v>0.39866399999999996</v>
      </c>
    </row>
    <row r="177" spans="1:15" s="47" customFormat="1" ht="18" customHeight="1" thickBot="1" x14ac:dyDescent="0.3">
      <c r="A177" s="104"/>
      <c r="B177" s="84" t="s">
        <v>1054</v>
      </c>
      <c r="C177" s="76">
        <v>30</v>
      </c>
      <c r="D177" s="77">
        <v>40</v>
      </c>
      <c r="E177" s="76">
        <v>32</v>
      </c>
      <c r="F177" s="77">
        <v>218</v>
      </c>
      <c r="G177" s="92" t="s">
        <v>303</v>
      </c>
      <c r="H177" s="192">
        <v>100602728</v>
      </c>
      <c r="I177" s="107" t="s">
        <v>28</v>
      </c>
      <c r="J177" s="214"/>
      <c r="K177" s="114" t="s">
        <v>28</v>
      </c>
      <c r="L177" s="76" t="s">
        <v>23</v>
      </c>
      <c r="M177" s="81">
        <v>2900</v>
      </c>
      <c r="N177" s="81">
        <v>350</v>
      </c>
      <c r="O177" s="82">
        <f>0.49*0.36*2.33</f>
        <v>0.41101199999999999</v>
      </c>
    </row>
    <row r="178" spans="1:15" s="47" customFormat="1" ht="18" customHeight="1" thickBot="1" x14ac:dyDescent="0.3">
      <c r="A178" s="104"/>
      <c r="B178" s="84" t="s">
        <v>1053</v>
      </c>
      <c r="C178" s="76">
        <v>30</v>
      </c>
      <c r="D178" s="77">
        <v>40</v>
      </c>
      <c r="E178" s="76">
        <v>32</v>
      </c>
      <c r="F178" s="77">
        <v>225</v>
      </c>
      <c r="G178" s="92" t="s">
        <v>303</v>
      </c>
      <c r="H178" s="192">
        <v>100602729</v>
      </c>
      <c r="I178" s="107" t="s">
        <v>28</v>
      </c>
      <c r="J178" s="214"/>
      <c r="K178" s="114" t="s">
        <v>28</v>
      </c>
      <c r="L178" s="76" t="s">
        <v>23</v>
      </c>
      <c r="M178" s="81">
        <v>2900</v>
      </c>
      <c r="N178" s="81">
        <v>350</v>
      </c>
      <c r="O178" s="82">
        <f>0.49*0.36*2.33</f>
        <v>0.41101199999999999</v>
      </c>
    </row>
    <row r="179" spans="1:15" s="47" customFormat="1" ht="18" customHeight="1" thickBot="1" x14ac:dyDescent="0.3">
      <c r="A179" s="104"/>
      <c r="B179" s="84" t="s">
        <v>1052</v>
      </c>
      <c r="C179" s="76">
        <v>3</v>
      </c>
      <c r="D179" s="77">
        <v>4</v>
      </c>
      <c r="E179" s="76">
        <v>45</v>
      </c>
      <c r="F179" s="77">
        <v>15</v>
      </c>
      <c r="G179" s="92" t="s">
        <v>304</v>
      </c>
      <c r="H179" s="192">
        <v>100602730</v>
      </c>
      <c r="I179" s="85">
        <v>974.15890551000007</v>
      </c>
      <c r="J179" s="212"/>
      <c r="K179" s="86">
        <v>1449.350147952</v>
      </c>
      <c r="L179" s="76" t="s">
        <v>23</v>
      </c>
      <c r="M179" s="81">
        <v>2900</v>
      </c>
      <c r="N179" s="81">
        <v>83</v>
      </c>
      <c r="O179" s="82">
        <f>0.39*0.39*0.93</f>
        <v>0.14145300000000002</v>
      </c>
    </row>
    <row r="180" spans="1:15" s="47" customFormat="1" ht="18" customHeight="1" thickBot="1" x14ac:dyDescent="0.3">
      <c r="A180" s="104"/>
      <c r="B180" s="84" t="s">
        <v>1051</v>
      </c>
      <c r="C180" s="76">
        <v>4</v>
      </c>
      <c r="D180" s="77">
        <v>5.5</v>
      </c>
      <c r="E180" s="76">
        <v>45</v>
      </c>
      <c r="F180" s="77">
        <v>19</v>
      </c>
      <c r="G180" s="92" t="s">
        <v>304</v>
      </c>
      <c r="H180" s="192">
        <v>100602731</v>
      </c>
      <c r="I180" s="85">
        <v>1166.9867025778083</v>
      </c>
      <c r="J180" s="211"/>
      <c r="K180" s="86">
        <v>1603.6689957120002</v>
      </c>
      <c r="L180" s="76" t="s">
        <v>23</v>
      </c>
      <c r="M180" s="81">
        <v>2900</v>
      </c>
      <c r="N180" s="81">
        <v>90</v>
      </c>
      <c r="O180" s="82">
        <f>0.39*0.39*0.94</f>
        <v>0.14297400000000002</v>
      </c>
    </row>
    <row r="181" spans="1:15" s="47" customFormat="1" ht="18" customHeight="1" thickBot="1" x14ac:dyDescent="0.3">
      <c r="A181" s="104"/>
      <c r="B181" s="29" t="s">
        <v>1050</v>
      </c>
      <c r="C181" s="76">
        <v>5.5</v>
      </c>
      <c r="D181" s="77">
        <v>7.5</v>
      </c>
      <c r="E181" s="76">
        <v>45</v>
      </c>
      <c r="F181" s="77">
        <v>30</v>
      </c>
      <c r="G181" s="92" t="s">
        <v>304</v>
      </c>
      <c r="H181" s="194">
        <v>100601405</v>
      </c>
      <c r="I181" s="166">
        <v>1573.2165327977953</v>
      </c>
      <c r="J181" s="211"/>
      <c r="K181" s="86">
        <v>1839.2223538079998</v>
      </c>
      <c r="L181" s="76" t="s">
        <v>23</v>
      </c>
      <c r="M181" s="81">
        <v>2900</v>
      </c>
      <c r="N181" s="81">
        <v>105</v>
      </c>
      <c r="O181" s="82">
        <f>0.41*0.39*1.05</f>
        <v>0.16789499999999999</v>
      </c>
    </row>
    <row r="182" spans="1:15" s="47" customFormat="1" ht="18" customHeight="1" thickBot="1" x14ac:dyDescent="0.3">
      <c r="A182" s="104"/>
      <c r="B182" s="29" t="s">
        <v>1049</v>
      </c>
      <c r="C182" s="76">
        <v>7.5</v>
      </c>
      <c r="D182" s="77">
        <v>10</v>
      </c>
      <c r="E182" s="76">
        <v>45</v>
      </c>
      <c r="F182" s="77">
        <v>39</v>
      </c>
      <c r="G182" s="92" t="s">
        <v>304</v>
      </c>
      <c r="H182" s="194">
        <v>100601406</v>
      </c>
      <c r="I182" s="166">
        <v>1827</v>
      </c>
      <c r="J182" s="211"/>
      <c r="K182" s="86">
        <v>2100.2505693120002</v>
      </c>
      <c r="L182" s="76" t="s">
        <v>23</v>
      </c>
      <c r="M182" s="81">
        <v>2900</v>
      </c>
      <c r="N182" s="81">
        <v>110</v>
      </c>
      <c r="O182" s="82">
        <f>0.41*0.39*1.05</f>
        <v>0.16789499999999999</v>
      </c>
    </row>
    <row r="183" spans="1:15" s="47" customFormat="1" ht="18" customHeight="1" thickBot="1" x14ac:dyDescent="0.3">
      <c r="A183" s="104"/>
      <c r="B183" s="29" t="s">
        <v>1048</v>
      </c>
      <c r="C183" s="76">
        <v>11</v>
      </c>
      <c r="D183" s="77">
        <v>15</v>
      </c>
      <c r="E183" s="76">
        <v>45</v>
      </c>
      <c r="F183" s="77">
        <v>50</v>
      </c>
      <c r="G183" s="92" t="s">
        <v>304</v>
      </c>
      <c r="H183" s="194">
        <v>100602732</v>
      </c>
      <c r="I183" s="166">
        <v>2360</v>
      </c>
      <c r="J183" s="211"/>
      <c r="K183" s="86">
        <v>2702.0272708799998</v>
      </c>
      <c r="L183" s="76" t="s">
        <v>23</v>
      </c>
      <c r="M183" s="81">
        <v>2900</v>
      </c>
      <c r="N183" s="81">
        <v>183</v>
      </c>
      <c r="O183" s="82">
        <f>0.46*0.39*1.35</f>
        <v>0.24219000000000002</v>
      </c>
    </row>
    <row r="184" spans="1:15" s="47" customFormat="1" ht="18" customHeight="1" thickBot="1" x14ac:dyDescent="0.3">
      <c r="A184" s="104"/>
      <c r="B184" s="29" t="s">
        <v>1047</v>
      </c>
      <c r="C184" s="76">
        <v>11</v>
      </c>
      <c r="D184" s="77">
        <v>15</v>
      </c>
      <c r="E184" s="76">
        <v>45</v>
      </c>
      <c r="F184" s="77">
        <v>58</v>
      </c>
      <c r="G184" s="92" t="s">
        <v>304</v>
      </c>
      <c r="H184" s="194">
        <v>100601407</v>
      </c>
      <c r="I184" s="166">
        <v>2360</v>
      </c>
      <c r="J184" s="211"/>
      <c r="K184" s="86">
        <v>2702.0272708799998</v>
      </c>
      <c r="L184" s="76" t="s">
        <v>23</v>
      </c>
      <c r="M184" s="81">
        <v>2900</v>
      </c>
      <c r="N184" s="81">
        <v>183</v>
      </c>
      <c r="O184" s="82">
        <f>0.46*0.39*1.35</f>
        <v>0.24219000000000002</v>
      </c>
    </row>
    <row r="185" spans="1:15" s="47" customFormat="1" ht="18" customHeight="1" thickBot="1" x14ac:dyDescent="0.3">
      <c r="A185" s="104"/>
      <c r="B185" s="29" t="s">
        <v>1046</v>
      </c>
      <c r="C185" s="76">
        <v>15</v>
      </c>
      <c r="D185" s="77">
        <v>20</v>
      </c>
      <c r="E185" s="76">
        <v>45</v>
      </c>
      <c r="F185" s="77">
        <v>69</v>
      </c>
      <c r="G185" s="92" t="s">
        <v>304</v>
      </c>
      <c r="H185" s="194">
        <v>100602733</v>
      </c>
      <c r="I185" s="166">
        <v>3030</v>
      </c>
      <c r="J185" s="211"/>
      <c r="K185" s="86">
        <v>3740.0386373280003</v>
      </c>
      <c r="L185" s="76" t="s">
        <v>23</v>
      </c>
      <c r="M185" s="81">
        <v>2900</v>
      </c>
      <c r="N185" s="81">
        <v>197</v>
      </c>
      <c r="O185" s="82">
        <f>0.46*0.39*1.43</f>
        <v>0.25654199999999999</v>
      </c>
    </row>
    <row r="186" spans="1:15" s="47" customFormat="1" ht="18" customHeight="1" thickBot="1" x14ac:dyDescent="0.3">
      <c r="A186" s="104"/>
      <c r="B186" s="29" t="s">
        <v>1045</v>
      </c>
      <c r="C186" s="76">
        <v>15</v>
      </c>
      <c r="D186" s="77">
        <v>20</v>
      </c>
      <c r="E186" s="76">
        <v>45</v>
      </c>
      <c r="F186" s="77">
        <v>78</v>
      </c>
      <c r="G186" s="92" t="s">
        <v>304</v>
      </c>
      <c r="H186" s="194">
        <v>100601408</v>
      </c>
      <c r="I186" s="166">
        <v>3030</v>
      </c>
      <c r="J186" s="211"/>
      <c r="K186" s="86">
        <v>3740.0386373280003</v>
      </c>
      <c r="L186" s="76" t="s">
        <v>23</v>
      </c>
      <c r="M186" s="81">
        <v>2900</v>
      </c>
      <c r="N186" s="81">
        <v>197</v>
      </c>
      <c r="O186" s="82">
        <f>0.46*0.39*1.43</f>
        <v>0.25654199999999999</v>
      </c>
    </row>
    <row r="187" spans="1:15" s="47" customFormat="1" ht="18" customHeight="1" thickBot="1" x14ac:dyDescent="0.3">
      <c r="A187" s="104"/>
      <c r="B187" s="84" t="s">
        <v>1044</v>
      </c>
      <c r="C187" s="76">
        <v>18.5</v>
      </c>
      <c r="D187" s="77">
        <v>25</v>
      </c>
      <c r="E187" s="76">
        <v>45</v>
      </c>
      <c r="F187" s="77">
        <v>88</v>
      </c>
      <c r="G187" s="92" t="s">
        <v>304</v>
      </c>
      <c r="H187" s="192">
        <v>100602734</v>
      </c>
      <c r="I187" s="85">
        <v>3792.9628480044676</v>
      </c>
      <c r="J187" s="211"/>
      <c r="K187" s="86">
        <v>4312.421272655999</v>
      </c>
      <c r="L187" s="76" t="s">
        <v>23</v>
      </c>
      <c r="M187" s="81">
        <v>2900</v>
      </c>
      <c r="N187" s="81">
        <v>221</v>
      </c>
      <c r="O187" s="82">
        <f>0.46*0.39*1.56</f>
        <v>0.279864</v>
      </c>
    </row>
    <row r="188" spans="1:15" s="47" customFormat="1" ht="18" customHeight="1" thickBot="1" x14ac:dyDescent="0.3">
      <c r="A188" s="104"/>
      <c r="B188" s="29" t="s">
        <v>1043</v>
      </c>
      <c r="C188" s="76">
        <v>18.5</v>
      </c>
      <c r="D188" s="77">
        <v>25</v>
      </c>
      <c r="E188" s="76">
        <v>45</v>
      </c>
      <c r="F188" s="77">
        <v>97</v>
      </c>
      <c r="G188" s="92" t="s">
        <v>304</v>
      </c>
      <c r="H188" s="194">
        <v>100601409</v>
      </c>
      <c r="I188" s="166">
        <v>3800</v>
      </c>
      <c r="J188" s="211"/>
      <c r="K188" s="86">
        <v>4312.421272655999</v>
      </c>
      <c r="L188" s="76" t="s">
        <v>23</v>
      </c>
      <c r="M188" s="81">
        <v>2900</v>
      </c>
      <c r="N188" s="81">
        <v>221</v>
      </c>
      <c r="O188" s="82">
        <f>0.46*0.39*1.56</f>
        <v>0.279864</v>
      </c>
    </row>
    <row r="189" spans="1:15" s="47" customFormat="1" ht="18" customHeight="1" thickBot="1" x14ac:dyDescent="0.3">
      <c r="A189" s="104"/>
      <c r="B189" s="84" t="s">
        <v>1042</v>
      </c>
      <c r="C189" s="76">
        <v>22</v>
      </c>
      <c r="D189" s="77">
        <v>30</v>
      </c>
      <c r="E189" s="76">
        <v>45</v>
      </c>
      <c r="F189" s="77">
        <v>108</v>
      </c>
      <c r="G189" s="92" t="s">
        <v>304</v>
      </c>
      <c r="H189" s="192">
        <v>100602735</v>
      </c>
      <c r="I189" s="85">
        <v>4391.7978103995747</v>
      </c>
      <c r="J189" s="211"/>
      <c r="K189" s="86">
        <v>5033.911989455999</v>
      </c>
      <c r="L189" s="76" t="s">
        <v>23</v>
      </c>
      <c r="M189" s="81">
        <v>2900</v>
      </c>
      <c r="N189" s="81">
        <v>261</v>
      </c>
      <c r="O189" s="82">
        <f>0.49*0.39*1.66</f>
        <v>0.31722599999999995</v>
      </c>
    </row>
    <row r="190" spans="1:15" s="47" customFormat="1" ht="18" customHeight="1" thickBot="1" x14ac:dyDescent="0.3">
      <c r="A190" s="104"/>
      <c r="B190" s="84" t="s">
        <v>1041</v>
      </c>
      <c r="C190" s="76">
        <v>22</v>
      </c>
      <c r="D190" s="77">
        <v>30</v>
      </c>
      <c r="E190" s="76">
        <v>45</v>
      </c>
      <c r="F190" s="77">
        <v>116</v>
      </c>
      <c r="G190" s="92" t="s">
        <v>304</v>
      </c>
      <c r="H190" s="192">
        <v>100602736</v>
      </c>
      <c r="I190" s="85">
        <v>4391.7978103995747</v>
      </c>
      <c r="J190" s="211"/>
      <c r="K190" s="86">
        <v>5033.911989455999</v>
      </c>
      <c r="L190" s="76" t="s">
        <v>23</v>
      </c>
      <c r="M190" s="81">
        <v>2900</v>
      </c>
      <c r="N190" s="81">
        <v>261</v>
      </c>
      <c r="O190" s="82">
        <f>0.49*0.39*1.66</f>
        <v>0.31722599999999995</v>
      </c>
    </row>
    <row r="191" spans="1:15" s="47" customFormat="1" ht="18" customHeight="1" thickBot="1" x14ac:dyDescent="0.3">
      <c r="A191" s="104"/>
      <c r="B191" s="84" t="s">
        <v>1040</v>
      </c>
      <c r="C191" s="76">
        <v>30</v>
      </c>
      <c r="D191" s="77">
        <v>40</v>
      </c>
      <c r="E191" s="76">
        <v>45</v>
      </c>
      <c r="F191" s="77">
        <v>127</v>
      </c>
      <c r="G191" s="92" t="s">
        <v>304</v>
      </c>
      <c r="H191" s="192">
        <v>100602737</v>
      </c>
      <c r="I191" s="107" t="s">
        <v>28</v>
      </c>
      <c r="J191" s="215"/>
      <c r="K191" s="114" t="s">
        <v>28</v>
      </c>
      <c r="L191" s="76" t="s">
        <v>23</v>
      </c>
      <c r="M191" s="81">
        <v>2900</v>
      </c>
      <c r="N191" s="81">
        <v>320</v>
      </c>
      <c r="O191" s="82">
        <f>0.51*0.39*1.82</f>
        <v>0.36199800000000004</v>
      </c>
    </row>
    <row r="192" spans="1:15" s="47" customFormat="1" ht="18" customHeight="1" thickBot="1" x14ac:dyDescent="0.3">
      <c r="A192" s="104"/>
      <c r="B192" s="84" t="s">
        <v>1039</v>
      </c>
      <c r="C192" s="76">
        <v>30</v>
      </c>
      <c r="D192" s="77">
        <v>40</v>
      </c>
      <c r="E192" s="76">
        <v>45</v>
      </c>
      <c r="F192" s="77">
        <v>135</v>
      </c>
      <c r="G192" s="92" t="s">
        <v>304</v>
      </c>
      <c r="H192" s="192">
        <v>100602738</v>
      </c>
      <c r="I192" s="107" t="s">
        <v>28</v>
      </c>
      <c r="J192" s="214"/>
      <c r="K192" s="114" t="s">
        <v>28</v>
      </c>
      <c r="L192" s="76" t="s">
        <v>23</v>
      </c>
      <c r="M192" s="81">
        <v>2900</v>
      </c>
      <c r="N192" s="81">
        <v>320</v>
      </c>
      <c r="O192" s="82">
        <f>0.51*0.39*1.82</f>
        <v>0.36199800000000004</v>
      </c>
    </row>
    <row r="193" spans="1:15" s="47" customFormat="1" ht="18" customHeight="1" thickBot="1" x14ac:dyDescent="0.3">
      <c r="A193" s="104"/>
      <c r="B193" s="84" t="s">
        <v>1038</v>
      </c>
      <c r="C193" s="76">
        <v>30</v>
      </c>
      <c r="D193" s="77">
        <v>40</v>
      </c>
      <c r="E193" s="76">
        <v>45</v>
      </c>
      <c r="F193" s="77">
        <v>146</v>
      </c>
      <c r="G193" s="92" t="s">
        <v>304</v>
      </c>
      <c r="H193" s="192">
        <v>100602739</v>
      </c>
      <c r="I193" s="107" t="s">
        <v>28</v>
      </c>
      <c r="J193" s="214"/>
      <c r="K193" s="114" t="s">
        <v>28</v>
      </c>
      <c r="L193" s="76" t="s">
        <v>23</v>
      </c>
      <c r="M193" s="81">
        <v>2900</v>
      </c>
      <c r="N193" s="81">
        <v>324</v>
      </c>
      <c r="O193" s="82">
        <f>0.51*0.39*1.9</f>
        <v>0.37791000000000002</v>
      </c>
    </row>
    <row r="194" spans="1:15" s="47" customFormat="1" ht="18" customHeight="1" thickBot="1" x14ac:dyDescent="0.3">
      <c r="A194" s="104"/>
      <c r="B194" s="84" t="s">
        <v>1037</v>
      </c>
      <c r="C194" s="76">
        <v>30</v>
      </c>
      <c r="D194" s="77">
        <v>40</v>
      </c>
      <c r="E194" s="76">
        <v>45</v>
      </c>
      <c r="F194" s="77">
        <v>154</v>
      </c>
      <c r="G194" s="92" t="s">
        <v>304</v>
      </c>
      <c r="H194" s="192">
        <v>100602740</v>
      </c>
      <c r="I194" s="107" t="s">
        <v>28</v>
      </c>
      <c r="J194" s="214"/>
      <c r="K194" s="114" t="s">
        <v>28</v>
      </c>
      <c r="L194" s="76" t="s">
        <v>23</v>
      </c>
      <c r="M194" s="81">
        <v>2900</v>
      </c>
      <c r="N194" s="81">
        <v>324</v>
      </c>
      <c r="O194" s="82">
        <f>0.51*0.39*1.9</f>
        <v>0.37791000000000002</v>
      </c>
    </row>
    <row r="195" spans="1:15" s="47" customFormat="1" ht="18" customHeight="1" thickBot="1" x14ac:dyDescent="0.3">
      <c r="A195" s="104"/>
      <c r="B195" s="84" t="s">
        <v>1036</v>
      </c>
      <c r="C195" s="76">
        <v>30</v>
      </c>
      <c r="D195" s="77">
        <v>40</v>
      </c>
      <c r="E195" s="76">
        <v>45</v>
      </c>
      <c r="F195" s="77">
        <v>166</v>
      </c>
      <c r="G195" s="92" t="s">
        <v>304</v>
      </c>
      <c r="H195" s="192">
        <v>100602741</v>
      </c>
      <c r="I195" s="107" t="s">
        <v>28</v>
      </c>
      <c r="J195" s="214"/>
      <c r="K195" s="114" t="s">
        <v>28</v>
      </c>
      <c r="L195" s="76" t="s">
        <v>23</v>
      </c>
      <c r="M195" s="81">
        <v>2900</v>
      </c>
      <c r="N195" s="81">
        <v>328</v>
      </c>
      <c r="O195" s="82">
        <f>0.51*0.39*1.98</f>
        <v>0.39382200000000006</v>
      </c>
    </row>
    <row r="196" spans="1:15" s="47" customFormat="1" ht="18" customHeight="1" thickBot="1" x14ac:dyDescent="0.3">
      <c r="A196" s="104"/>
      <c r="B196" s="84" t="s">
        <v>1035</v>
      </c>
      <c r="C196" s="76">
        <v>37</v>
      </c>
      <c r="D196" s="77">
        <v>50</v>
      </c>
      <c r="E196" s="76">
        <v>45</v>
      </c>
      <c r="F196" s="77">
        <v>174</v>
      </c>
      <c r="G196" s="92" t="s">
        <v>304</v>
      </c>
      <c r="H196" s="192">
        <v>100602742</v>
      </c>
      <c r="I196" s="107" t="s">
        <v>28</v>
      </c>
      <c r="J196" s="214"/>
      <c r="K196" s="114" t="s">
        <v>28</v>
      </c>
      <c r="L196" s="76" t="s">
        <v>23</v>
      </c>
      <c r="M196" s="81">
        <v>2900</v>
      </c>
      <c r="N196" s="81">
        <v>352</v>
      </c>
      <c r="O196" s="82">
        <f>0.51*0.39*1.98</f>
        <v>0.39382200000000006</v>
      </c>
    </row>
    <row r="197" spans="1:15" s="47" customFormat="1" ht="18" customHeight="1" thickBot="1" x14ac:dyDescent="0.3">
      <c r="A197" s="104"/>
      <c r="B197" s="84" t="s">
        <v>1034</v>
      </c>
      <c r="C197" s="76">
        <v>37</v>
      </c>
      <c r="D197" s="77">
        <v>50</v>
      </c>
      <c r="E197" s="76">
        <v>45</v>
      </c>
      <c r="F197" s="77">
        <v>185</v>
      </c>
      <c r="G197" s="92" t="s">
        <v>304</v>
      </c>
      <c r="H197" s="192">
        <v>100602743</v>
      </c>
      <c r="I197" s="107" t="s">
        <v>28</v>
      </c>
      <c r="J197" s="214"/>
      <c r="K197" s="114" t="s">
        <v>28</v>
      </c>
      <c r="L197" s="76" t="s">
        <v>23</v>
      </c>
      <c r="M197" s="81">
        <v>2900</v>
      </c>
      <c r="N197" s="81">
        <v>355</v>
      </c>
      <c r="O197" s="82">
        <f>0.51*0.39*2.06</f>
        <v>0.40973400000000004</v>
      </c>
    </row>
    <row r="198" spans="1:15" s="47" customFormat="1" ht="18" customHeight="1" thickBot="1" x14ac:dyDescent="0.3">
      <c r="A198" s="104"/>
      <c r="B198" s="84" t="s">
        <v>1033</v>
      </c>
      <c r="C198" s="76">
        <v>37</v>
      </c>
      <c r="D198" s="77">
        <v>50</v>
      </c>
      <c r="E198" s="76">
        <v>45</v>
      </c>
      <c r="F198" s="77">
        <v>193</v>
      </c>
      <c r="G198" s="92" t="s">
        <v>304</v>
      </c>
      <c r="H198" s="192">
        <v>100602744</v>
      </c>
      <c r="I198" s="107" t="s">
        <v>28</v>
      </c>
      <c r="J198" s="214"/>
      <c r="K198" s="114" t="s">
        <v>28</v>
      </c>
      <c r="L198" s="76" t="s">
        <v>23</v>
      </c>
      <c r="M198" s="81">
        <v>2900</v>
      </c>
      <c r="N198" s="81">
        <v>355</v>
      </c>
      <c r="O198" s="82">
        <f>0.51*0.39*2.06</f>
        <v>0.40973400000000004</v>
      </c>
    </row>
    <row r="199" spans="1:15" s="47" customFormat="1" ht="18" customHeight="1" thickBot="1" x14ac:dyDescent="0.3">
      <c r="A199" s="104"/>
      <c r="B199" s="84" t="s">
        <v>1032</v>
      </c>
      <c r="C199" s="76">
        <v>45</v>
      </c>
      <c r="D199" s="77">
        <v>60</v>
      </c>
      <c r="E199" s="76">
        <v>45</v>
      </c>
      <c r="F199" s="77">
        <v>206</v>
      </c>
      <c r="G199" s="92" t="s">
        <v>304</v>
      </c>
      <c r="H199" s="192">
        <v>100602745</v>
      </c>
      <c r="I199" s="107" t="s">
        <v>28</v>
      </c>
      <c r="J199" s="214"/>
      <c r="K199" s="114" t="s">
        <v>28</v>
      </c>
      <c r="L199" s="76" t="s">
        <v>23</v>
      </c>
      <c r="M199" s="81">
        <v>2900</v>
      </c>
      <c r="N199" s="81">
        <v>426</v>
      </c>
      <c r="O199" s="82">
        <f>0.55*0.39*2.17</f>
        <v>0.46546500000000002</v>
      </c>
    </row>
    <row r="200" spans="1:15" s="47" customFormat="1" ht="18" customHeight="1" thickBot="1" x14ac:dyDescent="0.3">
      <c r="A200" s="104"/>
      <c r="B200" s="84" t="s">
        <v>1031</v>
      </c>
      <c r="C200" s="76">
        <v>45</v>
      </c>
      <c r="D200" s="77">
        <v>60</v>
      </c>
      <c r="E200" s="76">
        <v>45</v>
      </c>
      <c r="F200" s="77">
        <v>214</v>
      </c>
      <c r="G200" s="92" t="s">
        <v>304</v>
      </c>
      <c r="H200" s="192">
        <v>100602746</v>
      </c>
      <c r="I200" s="107" t="s">
        <v>28</v>
      </c>
      <c r="J200" s="214"/>
      <c r="K200" s="114" t="s">
        <v>28</v>
      </c>
      <c r="L200" s="76" t="s">
        <v>23</v>
      </c>
      <c r="M200" s="81">
        <v>2900</v>
      </c>
      <c r="N200" s="81">
        <v>426</v>
      </c>
      <c r="O200" s="82">
        <f>0.55*0.39*2.17</f>
        <v>0.46546500000000002</v>
      </c>
    </row>
    <row r="201" spans="1:15" s="47" customFormat="1" ht="18" customHeight="1" thickBot="1" x14ac:dyDescent="0.3">
      <c r="A201" s="104"/>
      <c r="B201" s="84" t="s">
        <v>1030</v>
      </c>
      <c r="C201" s="76">
        <v>45</v>
      </c>
      <c r="D201" s="77">
        <v>60</v>
      </c>
      <c r="E201" s="76">
        <v>45</v>
      </c>
      <c r="F201" s="77">
        <v>226</v>
      </c>
      <c r="G201" s="92" t="s">
        <v>304</v>
      </c>
      <c r="H201" s="192">
        <v>100602747</v>
      </c>
      <c r="I201" s="107" t="s">
        <v>28</v>
      </c>
      <c r="J201" s="214"/>
      <c r="K201" s="114" t="s">
        <v>28</v>
      </c>
      <c r="L201" s="76" t="s">
        <v>23</v>
      </c>
      <c r="M201" s="81">
        <v>2900</v>
      </c>
      <c r="N201" s="81">
        <v>432</v>
      </c>
      <c r="O201" s="82">
        <f>0.55*0.39*2.25</f>
        <v>0.48262500000000008</v>
      </c>
    </row>
    <row r="202" spans="1:15" s="47" customFormat="1" ht="18" customHeight="1" thickBot="1" x14ac:dyDescent="0.3">
      <c r="A202" s="104"/>
      <c r="B202" s="84" t="s">
        <v>1029</v>
      </c>
      <c r="C202" s="76">
        <v>45</v>
      </c>
      <c r="D202" s="77">
        <v>60</v>
      </c>
      <c r="E202" s="76">
        <v>45</v>
      </c>
      <c r="F202" s="77">
        <v>236</v>
      </c>
      <c r="G202" s="92" t="s">
        <v>304</v>
      </c>
      <c r="H202" s="192">
        <v>100602748</v>
      </c>
      <c r="I202" s="107" t="s">
        <v>28</v>
      </c>
      <c r="J202" s="214"/>
      <c r="K202" s="114" t="s">
        <v>28</v>
      </c>
      <c r="L202" s="76" t="s">
        <v>23</v>
      </c>
      <c r="M202" s="81">
        <v>2900</v>
      </c>
      <c r="N202" s="81">
        <v>432</v>
      </c>
      <c r="O202" s="82">
        <f>0.55*0.39*2.25</f>
        <v>0.48262500000000008</v>
      </c>
    </row>
    <row r="203" spans="1:15" s="47" customFormat="1" ht="18" customHeight="1" thickBot="1" x14ac:dyDescent="0.3">
      <c r="A203" s="104"/>
      <c r="B203" s="84" t="s">
        <v>1028</v>
      </c>
      <c r="C203" s="76">
        <v>45</v>
      </c>
      <c r="D203" s="77">
        <v>60</v>
      </c>
      <c r="E203" s="76">
        <v>45</v>
      </c>
      <c r="F203" s="77">
        <v>247</v>
      </c>
      <c r="G203" s="92" t="s">
        <v>304</v>
      </c>
      <c r="H203" s="192">
        <v>100602749</v>
      </c>
      <c r="I203" s="107" t="s">
        <v>28</v>
      </c>
      <c r="J203" s="214"/>
      <c r="K203" s="114" t="s">
        <v>28</v>
      </c>
      <c r="L203" s="76" t="s">
        <v>23</v>
      </c>
      <c r="M203" s="81">
        <v>2900</v>
      </c>
      <c r="N203" s="81">
        <v>438</v>
      </c>
      <c r="O203" s="82">
        <f>0.55*0.39*2.33</f>
        <v>0.49978500000000009</v>
      </c>
    </row>
    <row r="204" spans="1:15" s="47" customFormat="1" ht="18" customHeight="1" thickBot="1" x14ac:dyDescent="0.3">
      <c r="A204" s="104"/>
      <c r="B204" s="84" t="s">
        <v>1027</v>
      </c>
      <c r="C204" s="76">
        <v>4</v>
      </c>
      <c r="D204" s="77">
        <v>5.5</v>
      </c>
      <c r="E204" s="76">
        <v>64</v>
      </c>
      <c r="F204" s="77">
        <v>13</v>
      </c>
      <c r="G204" s="92" t="s">
        <v>305</v>
      </c>
      <c r="H204" s="192">
        <v>100602750</v>
      </c>
      <c r="I204" s="85">
        <v>1150.5540334974337</v>
      </c>
      <c r="J204" s="212"/>
      <c r="K204" s="86">
        <v>1764.668313072</v>
      </c>
      <c r="L204" s="76" t="s">
        <v>23</v>
      </c>
      <c r="M204" s="81">
        <v>2900</v>
      </c>
      <c r="N204" s="81">
        <v>93</v>
      </c>
      <c r="O204" s="82">
        <f>0.39*0.39*0.94</f>
        <v>0.14297400000000002</v>
      </c>
    </row>
    <row r="205" spans="1:15" s="47" customFormat="1" ht="18" customHeight="1" thickBot="1" x14ac:dyDescent="0.3">
      <c r="A205" s="104"/>
      <c r="B205" s="84" t="s">
        <v>1026</v>
      </c>
      <c r="C205" s="76">
        <v>5.5</v>
      </c>
      <c r="D205" s="77">
        <v>7.5</v>
      </c>
      <c r="E205" s="76">
        <v>64</v>
      </c>
      <c r="F205" s="77">
        <v>20</v>
      </c>
      <c r="G205" s="92" t="s">
        <v>305</v>
      </c>
      <c r="H205" s="192">
        <v>100602751</v>
      </c>
      <c r="I205" s="85">
        <v>1494.4822267433187</v>
      </c>
      <c r="J205" s="212"/>
      <c r="K205" s="86">
        <v>1834.367879232</v>
      </c>
      <c r="L205" s="76" t="s">
        <v>23</v>
      </c>
      <c r="M205" s="81">
        <v>2900</v>
      </c>
      <c r="N205" s="81">
        <v>105</v>
      </c>
      <c r="O205" s="82">
        <f>0.41*0.39*0.97</f>
        <v>0.15510299999999999</v>
      </c>
    </row>
    <row r="206" spans="1:15" s="47" customFormat="1" ht="18" customHeight="1" thickBot="1" x14ac:dyDescent="0.3">
      <c r="A206" s="104"/>
      <c r="B206" s="84" t="s">
        <v>1025</v>
      </c>
      <c r="C206" s="76">
        <v>7.5</v>
      </c>
      <c r="D206" s="77">
        <v>10</v>
      </c>
      <c r="E206" s="76">
        <v>64</v>
      </c>
      <c r="F206" s="77">
        <v>26</v>
      </c>
      <c r="G206" s="92" t="s">
        <v>305</v>
      </c>
      <c r="H206" s="192">
        <v>100602752</v>
      </c>
      <c r="I206" s="85">
        <v>1776.7767776931653</v>
      </c>
      <c r="J206" s="212"/>
      <c r="K206" s="86">
        <v>2108.3116692959998</v>
      </c>
      <c r="L206" s="76" t="s">
        <v>23</v>
      </c>
      <c r="M206" s="81">
        <v>2900</v>
      </c>
      <c r="N206" s="81">
        <v>110</v>
      </c>
      <c r="O206" s="82">
        <f>0.41*0.39*1.05</f>
        <v>0.16789499999999999</v>
      </c>
    </row>
    <row r="207" spans="1:15" s="47" customFormat="1" ht="18" customHeight="1" thickBot="1" x14ac:dyDescent="0.3">
      <c r="A207" s="104"/>
      <c r="B207" s="84" t="s">
        <v>1024</v>
      </c>
      <c r="C207" s="76">
        <v>11</v>
      </c>
      <c r="D207" s="77">
        <v>15</v>
      </c>
      <c r="E207" s="76">
        <v>64</v>
      </c>
      <c r="F207" s="77">
        <v>33</v>
      </c>
      <c r="G207" s="92" t="s">
        <v>305</v>
      </c>
      <c r="H207" s="192">
        <v>100602753</v>
      </c>
      <c r="I207" s="85">
        <v>2453.9897823144479</v>
      </c>
      <c r="J207" s="211"/>
      <c r="K207" s="86">
        <v>2646.178545024</v>
      </c>
      <c r="L207" s="76" t="s">
        <v>23</v>
      </c>
      <c r="M207" s="81">
        <v>2900</v>
      </c>
      <c r="N207" s="81">
        <v>182</v>
      </c>
      <c r="O207" s="82">
        <f>0.46*0.39*1.27</f>
        <v>0.22783800000000001</v>
      </c>
    </row>
    <row r="208" spans="1:15" s="47" customFormat="1" ht="18" customHeight="1" thickBot="1" x14ac:dyDescent="0.3">
      <c r="A208" s="104"/>
      <c r="B208" s="29" t="s">
        <v>1023</v>
      </c>
      <c r="C208" s="76">
        <v>11</v>
      </c>
      <c r="D208" s="77">
        <v>15</v>
      </c>
      <c r="E208" s="76">
        <v>64</v>
      </c>
      <c r="F208" s="77">
        <v>40</v>
      </c>
      <c r="G208" s="92" t="s">
        <v>305</v>
      </c>
      <c r="H208" s="194">
        <v>100601410</v>
      </c>
      <c r="I208" s="166">
        <v>2460</v>
      </c>
      <c r="J208" s="211"/>
      <c r="K208" s="86">
        <v>2646.178545024</v>
      </c>
      <c r="L208" s="76" t="s">
        <v>23</v>
      </c>
      <c r="M208" s="81">
        <v>2900</v>
      </c>
      <c r="N208" s="81">
        <v>182</v>
      </c>
      <c r="O208" s="82">
        <f>0.46*0.39*1.27</f>
        <v>0.22783800000000001</v>
      </c>
    </row>
    <row r="209" spans="1:15" s="47" customFormat="1" ht="18" customHeight="1" thickBot="1" x14ac:dyDescent="0.3">
      <c r="A209" s="104"/>
      <c r="B209" s="84" t="s">
        <v>1022</v>
      </c>
      <c r="C209" s="76">
        <v>15</v>
      </c>
      <c r="D209" s="77">
        <v>20</v>
      </c>
      <c r="E209" s="76">
        <v>64</v>
      </c>
      <c r="F209" s="77">
        <v>46</v>
      </c>
      <c r="G209" s="92" t="s">
        <v>305</v>
      </c>
      <c r="H209" s="192">
        <v>100602754</v>
      </c>
      <c r="I209" s="85">
        <v>3124.7900380263168</v>
      </c>
      <c r="J209" s="211"/>
      <c r="K209" s="86">
        <v>3590.9750923199999</v>
      </c>
      <c r="L209" s="76" t="s">
        <v>23</v>
      </c>
      <c r="M209" s="81">
        <v>2900</v>
      </c>
      <c r="N209" s="81">
        <v>196</v>
      </c>
      <c r="O209" s="82">
        <f>0.46*0.39*1.36</f>
        <v>0.24398400000000003</v>
      </c>
    </row>
    <row r="210" spans="1:15" s="47" customFormat="1" ht="18" customHeight="1" thickBot="1" x14ac:dyDescent="0.3">
      <c r="A210" s="104"/>
      <c r="B210" s="29" t="s">
        <v>1021</v>
      </c>
      <c r="C210" s="76">
        <v>15</v>
      </c>
      <c r="D210" s="77">
        <v>20</v>
      </c>
      <c r="E210" s="76">
        <v>64</v>
      </c>
      <c r="F210" s="77">
        <v>53</v>
      </c>
      <c r="G210" s="92" t="s">
        <v>305</v>
      </c>
      <c r="H210" s="194">
        <v>100601411</v>
      </c>
      <c r="I210" s="166">
        <v>3130</v>
      </c>
      <c r="J210" s="211"/>
      <c r="K210" s="86">
        <v>3590.9750923199999</v>
      </c>
      <c r="L210" s="76" t="s">
        <v>23</v>
      </c>
      <c r="M210" s="81">
        <v>2900</v>
      </c>
      <c r="N210" s="81">
        <v>197</v>
      </c>
      <c r="O210" s="82">
        <f>0.46*0.39*1.36</f>
        <v>0.24398400000000003</v>
      </c>
    </row>
    <row r="211" spans="1:15" s="47" customFormat="1" ht="18" customHeight="1" thickBot="1" x14ac:dyDescent="0.3">
      <c r="A211" s="104"/>
      <c r="B211" s="84" t="s">
        <v>1020</v>
      </c>
      <c r="C211" s="76">
        <v>18.5</v>
      </c>
      <c r="D211" s="77">
        <v>25</v>
      </c>
      <c r="E211" s="76">
        <v>64</v>
      </c>
      <c r="F211" s="77">
        <v>60</v>
      </c>
      <c r="G211" s="92" t="s">
        <v>305</v>
      </c>
      <c r="H211" s="192">
        <v>100602755</v>
      </c>
      <c r="I211" s="85">
        <v>3500.3366460338975</v>
      </c>
      <c r="J211" s="211"/>
      <c r="K211" s="86">
        <v>3961.0731081599997</v>
      </c>
      <c r="L211" s="76" t="s">
        <v>23</v>
      </c>
      <c r="M211" s="81">
        <v>2900</v>
      </c>
      <c r="N211" s="81">
        <v>221</v>
      </c>
      <c r="O211" s="82">
        <f>0.46*0.39*1.41</f>
        <v>0.25295400000000001</v>
      </c>
    </row>
    <row r="212" spans="1:15" s="47" customFormat="1" ht="18" customHeight="1" thickBot="1" x14ac:dyDescent="0.3">
      <c r="A212" s="104"/>
      <c r="B212" s="29" t="s">
        <v>1019</v>
      </c>
      <c r="C212" s="76">
        <v>18.5</v>
      </c>
      <c r="D212" s="77">
        <v>25</v>
      </c>
      <c r="E212" s="76">
        <v>64</v>
      </c>
      <c r="F212" s="77">
        <v>66</v>
      </c>
      <c r="G212" s="92" t="s">
        <v>305</v>
      </c>
      <c r="H212" s="194">
        <v>100601412</v>
      </c>
      <c r="I212" s="166">
        <v>3540</v>
      </c>
      <c r="J212" s="211"/>
      <c r="K212" s="86">
        <v>4145.9439702239997</v>
      </c>
      <c r="L212" s="76" t="s">
        <v>23</v>
      </c>
      <c r="M212" s="81">
        <v>2900</v>
      </c>
      <c r="N212" s="81">
        <v>225</v>
      </c>
      <c r="O212" s="82">
        <f>0.46*0.39*1.49</f>
        <v>0.26730599999999999</v>
      </c>
    </row>
    <row r="213" spans="1:15" s="47" customFormat="1" ht="18" customHeight="1" thickBot="1" x14ac:dyDescent="0.3">
      <c r="A213" s="104"/>
      <c r="B213" s="84" t="s">
        <v>1018</v>
      </c>
      <c r="C213" s="76">
        <v>22</v>
      </c>
      <c r="D213" s="77">
        <v>30</v>
      </c>
      <c r="E213" s="76">
        <v>64</v>
      </c>
      <c r="F213" s="77">
        <v>73</v>
      </c>
      <c r="G213" s="92" t="s">
        <v>305</v>
      </c>
      <c r="H213" s="192">
        <v>100602756</v>
      </c>
      <c r="I213" s="85">
        <v>4189.4844889032584</v>
      </c>
      <c r="J213" s="211"/>
      <c r="K213" s="86">
        <v>4802.2333037280005</v>
      </c>
      <c r="L213" s="76" t="s">
        <v>23</v>
      </c>
      <c r="M213" s="81">
        <v>2900</v>
      </c>
      <c r="N213" s="81">
        <v>258</v>
      </c>
      <c r="O213" s="82">
        <f>0.49*0.39*1.51</f>
        <v>0.28856100000000001</v>
      </c>
    </row>
    <row r="214" spans="1:15" s="47" customFormat="1" ht="18" customHeight="1" thickBot="1" x14ac:dyDescent="0.3">
      <c r="A214" s="104"/>
      <c r="B214" s="29" t="s">
        <v>1017</v>
      </c>
      <c r="C214" s="76">
        <v>22</v>
      </c>
      <c r="D214" s="77">
        <v>30</v>
      </c>
      <c r="E214" s="76">
        <v>64</v>
      </c>
      <c r="F214" s="77">
        <v>80</v>
      </c>
      <c r="G214" s="92" t="s">
        <v>305</v>
      </c>
      <c r="H214" s="194">
        <v>100601413</v>
      </c>
      <c r="I214" s="166">
        <v>4190</v>
      </c>
      <c r="J214" s="211"/>
      <c r="K214" s="86">
        <v>4802.2333037280005</v>
      </c>
      <c r="L214" s="76" t="s">
        <v>23</v>
      </c>
      <c r="M214" s="81">
        <v>2900</v>
      </c>
      <c r="N214" s="81">
        <v>258</v>
      </c>
      <c r="O214" s="82">
        <f>0.49*0.39*1.51</f>
        <v>0.28856100000000001</v>
      </c>
    </row>
    <row r="215" spans="1:15" s="47" customFormat="1" ht="18" customHeight="1" thickBot="1" x14ac:dyDescent="0.3">
      <c r="A215" s="104"/>
      <c r="B215" s="84" t="s">
        <v>1016</v>
      </c>
      <c r="C215" s="76">
        <v>30</v>
      </c>
      <c r="D215" s="77">
        <v>40</v>
      </c>
      <c r="E215" s="76">
        <v>64</v>
      </c>
      <c r="F215" s="77">
        <v>88</v>
      </c>
      <c r="G215" s="92" t="s">
        <v>305</v>
      </c>
      <c r="H215" s="192">
        <v>100602757</v>
      </c>
      <c r="I215" s="107" t="s">
        <v>28</v>
      </c>
      <c r="J215" s="215"/>
      <c r="K215" s="114" t="s">
        <v>28</v>
      </c>
      <c r="L215" s="76" t="s">
        <v>23</v>
      </c>
      <c r="M215" s="81">
        <v>2900</v>
      </c>
      <c r="N215" s="81">
        <v>319</v>
      </c>
      <c r="O215" s="82">
        <f>0.51*0.39*1.67</f>
        <v>0.33216300000000004</v>
      </c>
    </row>
    <row r="216" spans="1:15" s="47" customFormat="1" ht="18" customHeight="1" thickBot="1" x14ac:dyDescent="0.3">
      <c r="A216" s="104"/>
      <c r="B216" s="84" t="s">
        <v>1015</v>
      </c>
      <c r="C216" s="76">
        <v>30</v>
      </c>
      <c r="D216" s="77">
        <v>40</v>
      </c>
      <c r="E216" s="76">
        <v>64</v>
      </c>
      <c r="F216" s="77">
        <v>95</v>
      </c>
      <c r="G216" s="92" t="s">
        <v>305</v>
      </c>
      <c r="H216" s="192">
        <v>100602758</v>
      </c>
      <c r="I216" s="107" t="s">
        <v>28</v>
      </c>
      <c r="J216" s="215"/>
      <c r="K216" s="114" t="s">
        <v>28</v>
      </c>
      <c r="L216" s="76" t="s">
        <v>23</v>
      </c>
      <c r="M216" s="81">
        <v>2900</v>
      </c>
      <c r="N216" s="81">
        <v>319</v>
      </c>
      <c r="O216" s="82">
        <f>0.51*0.39*1.67</f>
        <v>0.33216300000000004</v>
      </c>
    </row>
    <row r="217" spans="1:15" s="47" customFormat="1" ht="18" customHeight="1" thickBot="1" x14ac:dyDescent="0.3">
      <c r="A217" s="104"/>
      <c r="B217" s="29" t="s">
        <v>1014</v>
      </c>
      <c r="C217" s="76">
        <v>30</v>
      </c>
      <c r="D217" s="77">
        <v>40</v>
      </c>
      <c r="E217" s="76">
        <v>64</v>
      </c>
      <c r="F217" s="77">
        <v>102</v>
      </c>
      <c r="G217" s="92" t="s">
        <v>305</v>
      </c>
      <c r="H217" s="194">
        <v>100601414</v>
      </c>
      <c r="I217" s="166">
        <v>4290</v>
      </c>
      <c r="J217" s="211"/>
      <c r="K217" s="114" t="s">
        <v>28</v>
      </c>
      <c r="L217" s="76" t="s">
        <v>23</v>
      </c>
      <c r="M217" s="81">
        <v>2900</v>
      </c>
      <c r="N217" s="81">
        <v>320</v>
      </c>
      <c r="O217" s="82">
        <f>0.51*0.39*1.67</f>
        <v>0.33216300000000004</v>
      </c>
    </row>
    <row r="218" spans="1:15" s="47" customFormat="1" ht="18" customHeight="1" thickBot="1" x14ac:dyDescent="0.3">
      <c r="A218" s="104"/>
      <c r="B218" s="29" t="s">
        <v>1013</v>
      </c>
      <c r="C218" s="76">
        <v>30</v>
      </c>
      <c r="D218" s="77">
        <v>40</v>
      </c>
      <c r="E218" s="76">
        <v>64</v>
      </c>
      <c r="F218" s="77">
        <v>110</v>
      </c>
      <c r="G218" s="92" t="s">
        <v>305</v>
      </c>
      <c r="H218" s="194">
        <v>100601340</v>
      </c>
      <c r="I218" s="166">
        <v>4480</v>
      </c>
      <c r="J218" s="211"/>
      <c r="K218" s="114" t="s">
        <v>28</v>
      </c>
      <c r="L218" s="76" t="s">
        <v>23</v>
      </c>
      <c r="M218" s="81">
        <v>2900</v>
      </c>
      <c r="N218" s="81">
        <v>325</v>
      </c>
      <c r="O218" s="82">
        <f>0.51*0.39*1.75</f>
        <v>0.34807500000000002</v>
      </c>
    </row>
    <row r="219" spans="1:15" s="47" customFormat="1" ht="18" customHeight="1" thickBot="1" x14ac:dyDescent="0.3">
      <c r="A219" s="104"/>
      <c r="B219" s="84" t="s">
        <v>1012</v>
      </c>
      <c r="C219" s="76">
        <v>37</v>
      </c>
      <c r="D219" s="77">
        <v>50</v>
      </c>
      <c r="E219" s="76">
        <v>64</v>
      </c>
      <c r="F219" s="77">
        <v>117</v>
      </c>
      <c r="G219" s="92" t="s">
        <v>305</v>
      </c>
      <c r="H219" s="192">
        <v>100602759</v>
      </c>
      <c r="I219" s="107" t="s">
        <v>28</v>
      </c>
      <c r="J219" s="215"/>
      <c r="K219" s="114" t="s">
        <v>28</v>
      </c>
      <c r="L219" s="76" t="s">
        <v>23</v>
      </c>
      <c r="M219" s="81">
        <v>2900</v>
      </c>
      <c r="N219" s="81">
        <v>349</v>
      </c>
      <c r="O219" s="82">
        <f>0.51*0.39*1.75</f>
        <v>0.34807500000000002</v>
      </c>
    </row>
    <row r="220" spans="1:15" s="47" customFormat="1" ht="18" customHeight="1" thickBot="1" x14ac:dyDescent="0.3">
      <c r="A220" s="104"/>
      <c r="B220" s="84" t="s">
        <v>1011</v>
      </c>
      <c r="C220" s="76">
        <v>37</v>
      </c>
      <c r="D220" s="77">
        <v>50</v>
      </c>
      <c r="E220" s="76">
        <v>64</v>
      </c>
      <c r="F220" s="77">
        <v>124</v>
      </c>
      <c r="G220" s="92" t="s">
        <v>305</v>
      </c>
      <c r="H220" s="192">
        <v>100602760</v>
      </c>
      <c r="I220" s="107" t="s">
        <v>28</v>
      </c>
      <c r="J220" s="215"/>
      <c r="K220" s="114" t="s">
        <v>28</v>
      </c>
      <c r="L220" s="76" t="s">
        <v>23</v>
      </c>
      <c r="M220" s="81">
        <v>2900</v>
      </c>
      <c r="N220" s="81">
        <v>349</v>
      </c>
      <c r="O220" s="82">
        <f>0.51*0.39*1.75</f>
        <v>0.34807500000000002</v>
      </c>
    </row>
    <row r="221" spans="1:15" s="47" customFormat="1" ht="18" customHeight="1" thickBot="1" x14ac:dyDescent="0.3">
      <c r="A221" s="104"/>
      <c r="B221" s="84" t="s">
        <v>1010</v>
      </c>
      <c r="C221" s="76">
        <v>37</v>
      </c>
      <c r="D221" s="77">
        <v>50</v>
      </c>
      <c r="E221" s="76">
        <v>64</v>
      </c>
      <c r="F221" s="77">
        <v>132</v>
      </c>
      <c r="G221" s="92" t="s">
        <v>305</v>
      </c>
      <c r="H221" s="192">
        <v>100602761</v>
      </c>
      <c r="I221" s="107" t="s">
        <v>28</v>
      </c>
      <c r="J221" s="215"/>
      <c r="K221" s="114" t="s">
        <v>28</v>
      </c>
      <c r="L221" s="76" t="s">
        <v>23</v>
      </c>
      <c r="M221" s="81">
        <v>2900</v>
      </c>
      <c r="N221" s="81">
        <v>353</v>
      </c>
      <c r="O221" s="82">
        <f>0.51*0.39*1.84</f>
        <v>0.36597600000000008</v>
      </c>
    </row>
    <row r="222" spans="1:15" s="47" customFormat="1" ht="18" customHeight="1" thickBot="1" x14ac:dyDescent="0.3">
      <c r="A222" s="104"/>
      <c r="B222" s="84" t="s">
        <v>1009</v>
      </c>
      <c r="C222" s="76">
        <v>37</v>
      </c>
      <c r="D222" s="77">
        <v>50</v>
      </c>
      <c r="E222" s="76">
        <v>64</v>
      </c>
      <c r="F222" s="77">
        <v>139</v>
      </c>
      <c r="G222" s="92" t="s">
        <v>305</v>
      </c>
      <c r="H222" s="192">
        <v>100602762</v>
      </c>
      <c r="I222" s="107" t="s">
        <v>28</v>
      </c>
      <c r="J222" s="214"/>
      <c r="K222" s="114" t="s">
        <v>28</v>
      </c>
      <c r="L222" s="76" t="s">
        <v>23</v>
      </c>
      <c r="M222" s="81">
        <v>2900</v>
      </c>
      <c r="N222" s="81">
        <v>353</v>
      </c>
      <c r="O222" s="82">
        <f>0.51*0.39*1.84</f>
        <v>0.36597600000000008</v>
      </c>
    </row>
    <row r="223" spans="1:15" s="47" customFormat="1" ht="18" customHeight="1" thickBot="1" x14ac:dyDescent="0.3">
      <c r="A223" s="104"/>
      <c r="B223" s="84" t="s">
        <v>1008</v>
      </c>
      <c r="C223" s="76">
        <v>45</v>
      </c>
      <c r="D223" s="77">
        <v>60</v>
      </c>
      <c r="E223" s="76">
        <v>64</v>
      </c>
      <c r="F223" s="77">
        <v>146</v>
      </c>
      <c r="G223" s="92" t="s">
        <v>305</v>
      </c>
      <c r="H223" s="192">
        <v>100602763</v>
      </c>
      <c r="I223" s="107" t="s">
        <v>28</v>
      </c>
      <c r="J223" s="214"/>
      <c r="K223" s="114" t="s">
        <v>28</v>
      </c>
      <c r="L223" s="76" t="s">
        <v>23</v>
      </c>
      <c r="M223" s="81">
        <v>2900</v>
      </c>
      <c r="N223" s="81">
        <v>420</v>
      </c>
      <c r="O223" s="82">
        <f>0.54*0.39*1.87</f>
        <v>0.39382200000000006</v>
      </c>
    </row>
    <row r="224" spans="1:15" s="47" customFormat="1" ht="18" customHeight="1" thickBot="1" x14ac:dyDescent="0.3">
      <c r="A224" s="104"/>
      <c r="B224" s="84" t="s">
        <v>1007</v>
      </c>
      <c r="C224" s="76">
        <v>45</v>
      </c>
      <c r="D224" s="77">
        <v>60</v>
      </c>
      <c r="E224" s="76">
        <v>64</v>
      </c>
      <c r="F224" s="77">
        <v>154</v>
      </c>
      <c r="G224" s="92" t="s">
        <v>305</v>
      </c>
      <c r="H224" s="192">
        <v>100602764</v>
      </c>
      <c r="I224" s="107" t="s">
        <v>28</v>
      </c>
      <c r="J224" s="214"/>
      <c r="K224" s="114" t="s">
        <v>28</v>
      </c>
      <c r="L224" s="76" t="s">
        <v>23</v>
      </c>
      <c r="M224" s="81">
        <v>2900</v>
      </c>
      <c r="N224" s="81">
        <v>424</v>
      </c>
      <c r="O224" s="82">
        <f>0.54*0.39*1.95</f>
        <v>0.41067000000000004</v>
      </c>
    </row>
    <row r="225" spans="1:16" s="47" customFormat="1" ht="18" customHeight="1" thickBot="1" x14ac:dyDescent="0.3">
      <c r="A225" s="104"/>
      <c r="B225" s="84" t="s">
        <v>1006</v>
      </c>
      <c r="C225" s="76">
        <v>45</v>
      </c>
      <c r="D225" s="77">
        <v>60</v>
      </c>
      <c r="E225" s="76">
        <v>64</v>
      </c>
      <c r="F225" s="77">
        <v>161</v>
      </c>
      <c r="G225" s="92" t="s">
        <v>305</v>
      </c>
      <c r="H225" s="192">
        <v>100602765</v>
      </c>
      <c r="I225" s="107" t="s">
        <v>28</v>
      </c>
      <c r="J225" s="214"/>
      <c r="K225" s="114" t="s">
        <v>28</v>
      </c>
      <c r="L225" s="76" t="s">
        <v>23</v>
      </c>
      <c r="M225" s="81">
        <v>2900</v>
      </c>
      <c r="N225" s="81">
        <v>424</v>
      </c>
      <c r="O225" s="82">
        <f>0.54*0.39*1.95</f>
        <v>0.41067000000000004</v>
      </c>
    </row>
    <row r="226" spans="1:16" s="47" customFormat="1" ht="18" customHeight="1" thickBot="1" x14ac:dyDescent="0.3">
      <c r="A226" s="104"/>
      <c r="B226" s="84" t="s">
        <v>1005</v>
      </c>
      <c r="C226" s="76">
        <v>5.5</v>
      </c>
      <c r="D226" s="77">
        <v>7.5</v>
      </c>
      <c r="E226" s="76">
        <v>90</v>
      </c>
      <c r="F226" s="77">
        <v>13</v>
      </c>
      <c r="G226" s="92" t="s">
        <v>305</v>
      </c>
      <c r="H226" s="192">
        <v>100602766</v>
      </c>
      <c r="I226" s="85">
        <v>2049.7194031501153</v>
      </c>
      <c r="J226" s="212"/>
      <c r="K226" s="86">
        <v>2648.761659935999</v>
      </c>
      <c r="L226" s="76" t="s">
        <v>23</v>
      </c>
      <c r="M226" s="81">
        <v>2900</v>
      </c>
      <c r="N226" s="81">
        <v>105</v>
      </c>
      <c r="O226" s="82">
        <f>0.42*0.41*0.98</f>
        <v>0.16875599999999999</v>
      </c>
    </row>
    <row r="227" spans="1:16" s="47" customFormat="1" ht="18" customHeight="1" thickBot="1" x14ac:dyDescent="0.3">
      <c r="A227" s="104"/>
      <c r="B227" s="84" t="s">
        <v>1004</v>
      </c>
      <c r="C227" s="76">
        <v>7.5</v>
      </c>
      <c r="D227" s="77">
        <v>10</v>
      </c>
      <c r="E227" s="76">
        <v>90</v>
      </c>
      <c r="F227" s="77">
        <v>19</v>
      </c>
      <c r="G227" s="92" t="s">
        <v>305</v>
      </c>
      <c r="H227" s="192">
        <v>100602767</v>
      </c>
      <c r="I227" s="85">
        <v>2225.2684045453339</v>
      </c>
      <c r="J227" s="212"/>
      <c r="K227" s="86">
        <v>2821.7412861120006</v>
      </c>
      <c r="L227" s="76" t="s">
        <v>23</v>
      </c>
      <c r="M227" s="81">
        <v>2900</v>
      </c>
      <c r="N227" s="81">
        <v>110</v>
      </c>
      <c r="O227" s="82">
        <f>0.42*0.41*0.98</f>
        <v>0.16875599999999999</v>
      </c>
    </row>
    <row r="228" spans="1:16" s="47" customFormat="1" ht="18" customHeight="1" thickBot="1" x14ac:dyDescent="0.3">
      <c r="A228" s="104"/>
      <c r="B228" s="84" t="s">
        <v>1003</v>
      </c>
      <c r="C228" s="76">
        <v>11</v>
      </c>
      <c r="D228" s="77">
        <v>15</v>
      </c>
      <c r="E228" s="76">
        <v>90</v>
      </c>
      <c r="F228" s="77">
        <v>28</v>
      </c>
      <c r="G228" s="92" t="s">
        <v>305</v>
      </c>
      <c r="H228" s="192">
        <v>100602768</v>
      </c>
      <c r="I228" s="85">
        <v>2455.6375025203392</v>
      </c>
      <c r="J228" s="211"/>
      <c r="K228" s="86">
        <v>3119.8683761280004</v>
      </c>
      <c r="L228" s="76" t="s">
        <v>23</v>
      </c>
      <c r="M228" s="81">
        <v>2900</v>
      </c>
      <c r="N228" s="81">
        <v>181</v>
      </c>
      <c r="O228" s="82">
        <f>0.47*0.41*1.29</f>
        <v>0.24858299999999997</v>
      </c>
    </row>
    <row r="229" spans="1:16" s="47" customFormat="1" ht="18" customHeight="1" thickBot="1" x14ac:dyDescent="0.3">
      <c r="A229" s="104"/>
      <c r="B229" s="29" t="s">
        <v>1002</v>
      </c>
      <c r="C229" s="76">
        <v>15</v>
      </c>
      <c r="D229" s="77">
        <v>20</v>
      </c>
      <c r="E229" s="76">
        <v>90</v>
      </c>
      <c r="F229" s="77">
        <v>40</v>
      </c>
      <c r="G229" s="92" t="s">
        <v>305</v>
      </c>
      <c r="H229" s="194">
        <v>100601415</v>
      </c>
      <c r="I229" s="166">
        <v>3210</v>
      </c>
      <c r="J229" s="211"/>
      <c r="K229" s="86">
        <v>3811.9650266880003</v>
      </c>
      <c r="L229" s="76" t="s">
        <v>23</v>
      </c>
      <c r="M229" s="81">
        <v>2900</v>
      </c>
      <c r="N229" s="81">
        <v>192</v>
      </c>
      <c r="O229" s="82">
        <f>0.47*0.41*1.29</f>
        <v>0.24858299999999997</v>
      </c>
    </row>
    <row r="230" spans="1:16" s="47" customFormat="1" ht="18" customHeight="1" thickBot="1" x14ac:dyDescent="0.3">
      <c r="A230" s="104"/>
      <c r="B230" s="29" t="s">
        <v>1001</v>
      </c>
      <c r="C230" s="76">
        <v>18.5</v>
      </c>
      <c r="D230" s="77">
        <v>25</v>
      </c>
      <c r="E230" s="76">
        <v>90</v>
      </c>
      <c r="F230" s="77">
        <v>49</v>
      </c>
      <c r="G230" s="92" t="s">
        <v>305</v>
      </c>
      <c r="H230" s="194">
        <v>100601416</v>
      </c>
      <c r="I230" s="166">
        <v>3700</v>
      </c>
      <c r="J230" s="211">
        <v>100602384</v>
      </c>
      <c r="K230" s="86">
        <v>4416.3248431680004</v>
      </c>
      <c r="L230" s="76" t="s">
        <v>23</v>
      </c>
      <c r="M230" s="81">
        <v>2900</v>
      </c>
      <c r="N230" s="81">
        <v>215</v>
      </c>
      <c r="O230" s="82">
        <f>0.47*0.41*1.44</f>
        <v>0.27748799999999996</v>
      </c>
    </row>
    <row r="231" spans="1:16" s="47" customFormat="1" ht="18" customHeight="1" thickBot="1" x14ac:dyDescent="0.3">
      <c r="A231" s="104"/>
      <c r="B231" s="29" t="s">
        <v>1000</v>
      </c>
      <c r="C231" s="76">
        <v>22</v>
      </c>
      <c r="D231" s="77">
        <v>30</v>
      </c>
      <c r="E231" s="76">
        <v>90</v>
      </c>
      <c r="F231" s="77">
        <v>62</v>
      </c>
      <c r="G231" s="92" t="s">
        <v>305</v>
      </c>
      <c r="H231" s="194">
        <v>100601417</v>
      </c>
      <c r="I231" s="166">
        <v>4070</v>
      </c>
      <c r="J231" s="211"/>
      <c r="K231" s="86">
        <v>4791.589088832</v>
      </c>
      <c r="L231" s="76" t="s">
        <v>23</v>
      </c>
      <c r="M231" s="81">
        <v>2900</v>
      </c>
      <c r="N231" s="81">
        <v>252</v>
      </c>
      <c r="O231" s="82">
        <f>0.5*0.41*1.46</f>
        <v>0.29929999999999995</v>
      </c>
    </row>
    <row r="232" spans="1:16" s="47" customFormat="1" ht="18" customHeight="1" thickBot="1" x14ac:dyDescent="0.3">
      <c r="A232" s="104"/>
      <c r="B232" s="84" t="s">
        <v>999</v>
      </c>
      <c r="C232" s="76">
        <v>30</v>
      </c>
      <c r="D232" s="77">
        <v>40</v>
      </c>
      <c r="E232" s="76">
        <v>90</v>
      </c>
      <c r="F232" s="77">
        <v>72</v>
      </c>
      <c r="G232" s="92" t="s">
        <v>305</v>
      </c>
      <c r="H232" s="192">
        <v>100602769</v>
      </c>
      <c r="I232" s="107" t="s">
        <v>28</v>
      </c>
      <c r="J232" s="215"/>
      <c r="K232" s="114" t="s">
        <v>28</v>
      </c>
      <c r="L232" s="76" t="s">
        <v>23</v>
      </c>
      <c r="M232" s="81">
        <v>2900</v>
      </c>
      <c r="N232" s="81">
        <v>312</v>
      </c>
      <c r="O232" s="82">
        <f>0.52*0.41*1.63</f>
        <v>0.34751599999999999</v>
      </c>
    </row>
    <row r="233" spans="1:16" s="47" customFormat="1" ht="18" customHeight="1" thickBot="1" x14ac:dyDescent="0.3">
      <c r="A233" s="104"/>
      <c r="B233" s="29" t="s">
        <v>998</v>
      </c>
      <c r="C233" s="76">
        <v>30</v>
      </c>
      <c r="D233" s="77">
        <v>40</v>
      </c>
      <c r="E233" s="76">
        <v>90</v>
      </c>
      <c r="F233" s="77">
        <v>84</v>
      </c>
      <c r="G233" s="92" t="s">
        <v>305</v>
      </c>
      <c r="H233" s="194">
        <v>100601418</v>
      </c>
      <c r="I233" s="166">
        <v>4380</v>
      </c>
      <c r="J233" s="211"/>
      <c r="K233" s="114" t="s">
        <v>28</v>
      </c>
      <c r="L233" s="76" t="s">
        <v>23</v>
      </c>
      <c r="M233" s="81">
        <v>2900</v>
      </c>
      <c r="N233" s="81">
        <v>312</v>
      </c>
      <c r="O233" s="82">
        <f>0.52*0.41*1.63</f>
        <v>0.34751599999999999</v>
      </c>
    </row>
    <row r="234" spans="1:16" s="47" customFormat="1" ht="18" customHeight="1" thickBot="1" x14ac:dyDescent="0.3">
      <c r="A234" s="104"/>
      <c r="B234" s="84" t="s">
        <v>997</v>
      </c>
      <c r="C234" s="76">
        <v>37</v>
      </c>
      <c r="D234" s="77">
        <v>50</v>
      </c>
      <c r="E234" s="76">
        <v>90</v>
      </c>
      <c r="F234" s="77">
        <v>93</v>
      </c>
      <c r="G234" s="92" t="s">
        <v>305</v>
      </c>
      <c r="H234" s="192">
        <v>100602770</v>
      </c>
      <c r="I234" s="107" t="s">
        <v>28</v>
      </c>
      <c r="J234" s="215"/>
      <c r="K234" s="114" t="s">
        <v>28</v>
      </c>
      <c r="L234" s="76" t="s">
        <v>23</v>
      </c>
      <c r="M234" s="81">
        <v>2900</v>
      </c>
      <c r="N234" s="81">
        <v>336</v>
      </c>
      <c r="O234" s="82">
        <f>0.52*0.41*1.72</f>
        <v>0.36670399999999997</v>
      </c>
    </row>
    <row r="235" spans="1:16" s="47" customFormat="1" ht="18" customHeight="1" thickBot="1" x14ac:dyDescent="0.3">
      <c r="A235" s="104"/>
      <c r="B235" s="29" t="s">
        <v>996</v>
      </c>
      <c r="C235" s="76">
        <v>37</v>
      </c>
      <c r="D235" s="77">
        <v>50</v>
      </c>
      <c r="E235" s="76">
        <v>90</v>
      </c>
      <c r="F235" s="77">
        <v>106</v>
      </c>
      <c r="G235" s="92" t="s">
        <v>305</v>
      </c>
      <c r="H235" s="194">
        <v>100601419</v>
      </c>
      <c r="I235" s="166">
        <v>5280</v>
      </c>
      <c r="J235" s="211"/>
      <c r="K235" s="114" t="s">
        <v>28</v>
      </c>
      <c r="L235" s="76" t="s">
        <v>23</v>
      </c>
      <c r="M235" s="81">
        <v>2900</v>
      </c>
      <c r="N235" s="81">
        <v>336</v>
      </c>
      <c r="O235" s="82">
        <f>0.52*0.41*1.72</f>
        <v>0.36670399999999997</v>
      </c>
    </row>
    <row r="236" spans="1:16" s="47" customFormat="1" ht="18" customHeight="1" thickBot="1" x14ac:dyDescent="0.3">
      <c r="A236" s="104"/>
      <c r="B236" s="84" t="s">
        <v>995</v>
      </c>
      <c r="C236" s="76">
        <v>45</v>
      </c>
      <c r="D236" s="77">
        <v>60</v>
      </c>
      <c r="E236" s="76">
        <v>90</v>
      </c>
      <c r="F236" s="77">
        <v>117</v>
      </c>
      <c r="G236" s="92" t="s">
        <v>305</v>
      </c>
      <c r="H236" s="192">
        <v>100602771</v>
      </c>
      <c r="I236" s="107" t="s">
        <v>28</v>
      </c>
      <c r="J236" s="215"/>
      <c r="K236" s="114" t="s">
        <v>28</v>
      </c>
      <c r="L236" s="76" t="s">
        <v>23</v>
      </c>
      <c r="M236" s="81">
        <v>2900</v>
      </c>
      <c r="N236" s="81">
        <v>407</v>
      </c>
      <c r="O236" s="82">
        <f>0.55*0.41*1.85</f>
        <v>0.41717500000000002</v>
      </c>
      <c r="P236" s="271"/>
    </row>
    <row r="237" spans="1:16" s="47" customFormat="1" ht="18" customHeight="1" thickBot="1" x14ac:dyDescent="0.3">
      <c r="A237" s="104"/>
      <c r="B237" s="29" t="s">
        <v>994</v>
      </c>
      <c r="C237" s="76">
        <v>45</v>
      </c>
      <c r="D237" s="77">
        <v>60</v>
      </c>
      <c r="E237" s="76">
        <v>90</v>
      </c>
      <c r="F237" s="77">
        <v>130</v>
      </c>
      <c r="G237" s="92" t="s">
        <v>305</v>
      </c>
      <c r="H237" s="194">
        <v>100602772</v>
      </c>
      <c r="I237" s="166">
        <v>6717.3120000000008</v>
      </c>
      <c r="J237" s="211"/>
      <c r="K237" s="114" t="s">
        <v>28</v>
      </c>
      <c r="L237" s="76" t="s">
        <v>23</v>
      </c>
      <c r="M237" s="81">
        <v>2900</v>
      </c>
      <c r="N237" s="81">
        <v>407</v>
      </c>
      <c r="O237" s="82">
        <f>0.55*0.41*1.85</f>
        <v>0.41717500000000002</v>
      </c>
      <c r="P237" s="271"/>
    </row>
    <row r="238" spans="1:16" s="47" customFormat="1" ht="18" customHeight="1" thickBot="1" x14ac:dyDescent="0.3">
      <c r="A238" s="104"/>
      <c r="B238" s="84" t="s">
        <v>1353</v>
      </c>
      <c r="C238" s="76">
        <v>11</v>
      </c>
      <c r="D238" s="299">
        <v>15</v>
      </c>
      <c r="E238" s="76">
        <v>120</v>
      </c>
      <c r="F238" s="299">
        <v>18.5</v>
      </c>
      <c r="G238" s="92" t="s">
        <v>410</v>
      </c>
      <c r="H238" s="211"/>
      <c r="I238" s="85">
        <v>5593.7304124800012</v>
      </c>
      <c r="J238" s="211"/>
      <c r="K238" s="86">
        <v>7439.7082058880014</v>
      </c>
      <c r="L238" s="76" t="s">
        <v>23</v>
      </c>
      <c r="M238" s="81">
        <v>2900</v>
      </c>
      <c r="N238" s="81"/>
      <c r="O238" s="82"/>
      <c r="P238" s="292"/>
    </row>
    <row r="239" spans="1:16" s="47" customFormat="1" ht="18" customHeight="1" thickBot="1" x14ac:dyDescent="0.3">
      <c r="A239" s="104"/>
      <c r="B239" s="84" t="s">
        <v>1354</v>
      </c>
      <c r="C239" s="76">
        <v>15</v>
      </c>
      <c r="D239" s="299">
        <v>20</v>
      </c>
      <c r="E239" s="76">
        <v>120</v>
      </c>
      <c r="F239" s="299">
        <v>28.5</v>
      </c>
      <c r="G239" s="92" t="s">
        <v>410</v>
      </c>
      <c r="H239" s="215"/>
      <c r="I239" s="85">
        <v>6729.3091192320016</v>
      </c>
      <c r="J239" s="211"/>
      <c r="K239" s="86">
        <v>8627.6550769920013</v>
      </c>
      <c r="L239" s="76" t="s">
        <v>23</v>
      </c>
      <c r="M239" s="81">
        <v>2900</v>
      </c>
      <c r="N239" s="81"/>
      <c r="O239" s="82"/>
      <c r="P239" s="292"/>
    </row>
    <row r="240" spans="1:16" s="47" customFormat="1" ht="18" customHeight="1" thickBot="1" x14ac:dyDescent="0.3">
      <c r="A240" s="104"/>
      <c r="B240" s="84" t="s">
        <v>1355</v>
      </c>
      <c r="C240" s="76">
        <v>18.5</v>
      </c>
      <c r="D240" s="299">
        <v>25</v>
      </c>
      <c r="E240" s="76">
        <v>120</v>
      </c>
      <c r="F240" s="299">
        <v>34.5</v>
      </c>
      <c r="G240" s="92" t="s">
        <v>410</v>
      </c>
      <c r="H240" s="211"/>
      <c r="I240" s="85">
        <v>7135.1623929600009</v>
      </c>
      <c r="J240" s="211"/>
      <c r="K240" s="86">
        <v>8863.3118165760025</v>
      </c>
      <c r="L240" s="76" t="s">
        <v>23</v>
      </c>
      <c r="M240" s="81">
        <v>2900</v>
      </c>
      <c r="N240" s="81"/>
      <c r="O240" s="82"/>
      <c r="P240" s="292"/>
    </row>
    <row r="241" spans="1:16" s="47" customFormat="1" ht="18" customHeight="1" thickBot="1" x14ac:dyDescent="0.3">
      <c r="A241" s="104"/>
      <c r="B241" s="84" t="s">
        <v>1356</v>
      </c>
      <c r="C241" s="76">
        <v>22</v>
      </c>
      <c r="D241" s="299">
        <v>30</v>
      </c>
      <c r="E241" s="76">
        <v>120</v>
      </c>
      <c r="F241" s="299">
        <v>40</v>
      </c>
      <c r="G241" s="92" t="s">
        <v>410</v>
      </c>
      <c r="H241" s="211"/>
      <c r="I241" s="85">
        <v>7367.7019799040008</v>
      </c>
      <c r="J241" s="211"/>
      <c r="K241" s="86">
        <v>9066.2384534400026</v>
      </c>
      <c r="L241" s="76" t="s">
        <v>23</v>
      </c>
      <c r="M241" s="81">
        <v>2900</v>
      </c>
      <c r="N241" s="81"/>
      <c r="O241" s="82"/>
      <c r="P241" s="292"/>
    </row>
    <row r="242" spans="1:16" s="47" customFormat="1" ht="18" customHeight="1" thickBot="1" x14ac:dyDescent="0.3">
      <c r="A242" s="104"/>
      <c r="B242" s="84" t="s">
        <v>1357</v>
      </c>
      <c r="C242" s="76">
        <v>30</v>
      </c>
      <c r="D242" s="299">
        <v>40</v>
      </c>
      <c r="E242" s="76">
        <v>120</v>
      </c>
      <c r="F242" s="299">
        <v>49</v>
      </c>
      <c r="G242" s="92" t="s">
        <v>410</v>
      </c>
      <c r="H242" s="215"/>
      <c r="I242" s="107" t="s">
        <v>28</v>
      </c>
      <c r="J242" s="215"/>
      <c r="K242" s="114" t="s">
        <v>28</v>
      </c>
      <c r="L242" s="76" t="s">
        <v>23</v>
      </c>
      <c r="M242" s="81">
        <v>2900</v>
      </c>
      <c r="N242" s="81"/>
      <c r="O242" s="82"/>
      <c r="P242" s="292"/>
    </row>
    <row r="243" spans="1:16" s="47" customFormat="1" ht="18" customHeight="1" thickBot="1" x14ac:dyDescent="0.3">
      <c r="A243" s="104"/>
      <c r="B243" s="84" t="s">
        <v>1358</v>
      </c>
      <c r="C243" s="76">
        <v>30</v>
      </c>
      <c r="D243" s="299">
        <v>40</v>
      </c>
      <c r="E243" s="76">
        <v>120</v>
      </c>
      <c r="F243" s="299">
        <v>55.5</v>
      </c>
      <c r="G243" s="92" t="s">
        <v>410</v>
      </c>
      <c r="H243" s="211"/>
      <c r="I243" s="107" t="s">
        <v>28</v>
      </c>
      <c r="J243" s="211"/>
      <c r="K243" s="114" t="s">
        <v>28</v>
      </c>
      <c r="L243" s="76" t="s">
        <v>23</v>
      </c>
      <c r="M243" s="81">
        <v>2900</v>
      </c>
      <c r="N243" s="81"/>
      <c r="O243" s="82"/>
      <c r="P243" s="292"/>
    </row>
    <row r="244" spans="1:16" s="47" customFormat="1" ht="18" customHeight="1" thickBot="1" x14ac:dyDescent="0.3">
      <c r="A244" s="104"/>
      <c r="B244" s="84" t="s">
        <v>1359</v>
      </c>
      <c r="C244" s="76">
        <v>30</v>
      </c>
      <c r="D244" s="299">
        <v>40</v>
      </c>
      <c r="E244" s="76">
        <v>120</v>
      </c>
      <c r="F244" s="299">
        <v>61</v>
      </c>
      <c r="G244" s="92" t="s">
        <v>410</v>
      </c>
      <c r="H244" s="211"/>
      <c r="I244" s="107" t="s">
        <v>28</v>
      </c>
      <c r="J244" s="211"/>
      <c r="K244" s="114" t="s">
        <v>28</v>
      </c>
      <c r="L244" s="76" t="s">
        <v>23</v>
      </c>
      <c r="M244" s="81">
        <v>2900</v>
      </c>
      <c r="N244" s="81"/>
      <c r="O244" s="82"/>
      <c r="P244" s="292"/>
    </row>
    <row r="245" spans="1:16" s="47" customFormat="1" ht="18" customHeight="1" thickBot="1" x14ac:dyDescent="0.3">
      <c r="A245" s="104"/>
      <c r="B245" s="84" t="s">
        <v>1360</v>
      </c>
      <c r="C245" s="76">
        <v>37</v>
      </c>
      <c r="D245" s="299">
        <v>50</v>
      </c>
      <c r="E245" s="76">
        <v>120</v>
      </c>
      <c r="F245" s="299">
        <v>69</v>
      </c>
      <c r="G245" s="92" t="s">
        <v>410</v>
      </c>
      <c r="H245" s="215"/>
      <c r="I245" s="107" t="s">
        <v>28</v>
      </c>
      <c r="J245" s="215"/>
      <c r="K245" s="114" t="s">
        <v>28</v>
      </c>
      <c r="L245" s="76" t="s">
        <v>23</v>
      </c>
      <c r="M245" s="81">
        <v>2900</v>
      </c>
      <c r="N245" s="81"/>
      <c r="O245" s="82"/>
      <c r="P245" s="292"/>
    </row>
    <row r="246" spans="1:16" s="47" customFormat="1" ht="18" customHeight="1" thickBot="1" x14ac:dyDescent="0.3">
      <c r="A246" s="104"/>
      <c r="B246" s="84" t="s">
        <v>1361</v>
      </c>
      <c r="C246" s="76">
        <v>37</v>
      </c>
      <c r="D246" s="299">
        <v>50</v>
      </c>
      <c r="E246" s="76">
        <v>120</v>
      </c>
      <c r="F246" s="299">
        <v>76</v>
      </c>
      <c r="G246" s="92" t="s">
        <v>410</v>
      </c>
      <c r="H246" s="211"/>
      <c r="I246" s="107" t="s">
        <v>28</v>
      </c>
      <c r="J246" s="211"/>
      <c r="K246" s="114" t="s">
        <v>28</v>
      </c>
      <c r="L246" s="76" t="s">
        <v>23</v>
      </c>
      <c r="M246" s="81">
        <v>2900</v>
      </c>
      <c r="N246" s="81"/>
      <c r="O246" s="82"/>
      <c r="P246" s="292"/>
    </row>
    <row r="247" spans="1:16" s="47" customFormat="1" ht="18" customHeight="1" thickBot="1" x14ac:dyDescent="0.3">
      <c r="A247" s="104"/>
      <c r="B247" s="84" t="s">
        <v>1362</v>
      </c>
      <c r="C247" s="76">
        <v>45</v>
      </c>
      <c r="D247" s="299">
        <v>60</v>
      </c>
      <c r="E247" s="76">
        <v>120</v>
      </c>
      <c r="F247" s="299">
        <v>81</v>
      </c>
      <c r="G247" s="92" t="s">
        <v>410</v>
      </c>
      <c r="H247" s="211"/>
      <c r="I247" s="107" t="s">
        <v>28</v>
      </c>
      <c r="J247" s="211"/>
      <c r="K247" s="114" t="s">
        <v>28</v>
      </c>
      <c r="L247" s="76" t="s">
        <v>23</v>
      </c>
      <c r="M247" s="81">
        <v>2900</v>
      </c>
      <c r="N247" s="81"/>
      <c r="O247" s="82"/>
      <c r="P247" s="292"/>
    </row>
    <row r="248" spans="1:16" s="47" customFormat="1" ht="18" customHeight="1" thickBot="1" x14ac:dyDescent="0.3">
      <c r="A248" s="104"/>
      <c r="B248" s="84" t="s">
        <v>1363</v>
      </c>
      <c r="C248" s="76">
        <v>45</v>
      </c>
      <c r="D248" s="299">
        <v>60</v>
      </c>
      <c r="E248" s="76">
        <v>120</v>
      </c>
      <c r="F248" s="299">
        <v>90</v>
      </c>
      <c r="G248" s="92" t="s">
        <v>410</v>
      </c>
      <c r="H248" s="215"/>
      <c r="I248" s="107" t="s">
        <v>28</v>
      </c>
      <c r="J248" s="215"/>
      <c r="K248" s="114" t="s">
        <v>28</v>
      </c>
      <c r="L248" s="76" t="s">
        <v>23</v>
      </c>
      <c r="M248" s="81">
        <v>2900</v>
      </c>
      <c r="N248" s="81"/>
      <c r="O248" s="82"/>
      <c r="P248" s="292"/>
    </row>
    <row r="249" spans="1:16" s="47" customFormat="1" ht="18" customHeight="1" thickBot="1" x14ac:dyDescent="0.3">
      <c r="A249" s="104"/>
      <c r="B249" s="84" t="s">
        <v>1364</v>
      </c>
      <c r="C249" s="76">
        <v>45</v>
      </c>
      <c r="D249" s="299">
        <v>60</v>
      </c>
      <c r="E249" s="76">
        <v>120</v>
      </c>
      <c r="F249" s="299">
        <v>97</v>
      </c>
      <c r="G249" s="92" t="s">
        <v>410</v>
      </c>
      <c r="H249" s="211"/>
      <c r="I249" s="107" t="s">
        <v>28</v>
      </c>
      <c r="J249" s="211"/>
      <c r="K249" s="114" t="s">
        <v>28</v>
      </c>
      <c r="L249" s="76" t="s">
        <v>23</v>
      </c>
      <c r="M249" s="81">
        <v>2900</v>
      </c>
      <c r="N249" s="81"/>
      <c r="O249" s="82"/>
      <c r="P249" s="292"/>
    </row>
    <row r="250" spans="1:16" s="47" customFormat="1" ht="18" customHeight="1" thickBot="1" x14ac:dyDescent="0.3">
      <c r="A250" s="104"/>
      <c r="B250" s="84" t="s">
        <v>1365</v>
      </c>
      <c r="C250" s="76">
        <v>55</v>
      </c>
      <c r="D250" s="299">
        <v>75</v>
      </c>
      <c r="E250" s="76">
        <v>120</v>
      </c>
      <c r="F250" s="299">
        <v>101.5</v>
      </c>
      <c r="G250" s="92" t="s">
        <v>410</v>
      </c>
      <c r="H250" s="211"/>
      <c r="I250" s="107" t="s">
        <v>28</v>
      </c>
      <c r="J250" s="211"/>
      <c r="K250" s="114" t="s">
        <v>28</v>
      </c>
      <c r="L250" s="76" t="s">
        <v>23</v>
      </c>
      <c r="M250" s="81">
        <v>2900</v>
      </c>
      <c r="N250" s="81"/>
      <c r="O250" s="82"/>
      <c r="P250" s="292"/>
    </row>
    <row r="251" spans="1:16" s="47" customFormat="1" ht="18" customHeight="1" thickBot="1" x14ac:dyDescent="0.3">
      <c r="A251" s="104"/>
      <c r="B251" s="84" t="s">
        <v>1366</v>
      </c>
      <c r="C251" s="76">
        <v>55</v>
      </c>
      <c r="D251" s="299">
        <v>75</v>
      </c>
      <c r="E251" s="76">
        <v>120</v>
      </c>
      <c r="F251" s="299">
        <v>110</v>
      </c>
      <c r="G251" s="92" t="s">
        <v>410</v>
      </c>
      <c r="H251" s="215"/>
      <c r="I251" s="107" t="s">
        <v>28</v>
      </c>
      <c r="J251" s="215"/>
      <c r="K251" s="114" t="s">
        <v>28</v>
      </c>
      <c r="L251" s="76" t="s">
        <v>23</v>
      </c>
      <c r="M251" s="81">
        <v>2900</v>
      </c>
      <c r="N251" s="81"/>
      <c r="O251" s="82"/>
      <c r="P251" s="292"/>
    </row>
    <row r="252" spans="1:16" s="47" customFormat="1" ht="18" customHeight="1" thickBot="1" x14ac:dyDescent="0.3">
      <c r="A252" s="104"/>
      <c r="B252" s="84" t="s">
        <v>1367</v>
      </c>
      <c r="C252" s="76">
        <v>55</v>
      </c>
      <c r="D252" s="299">
        <v>75</v>
      </c>
      <c r="E252" s="76">
        <v>120</v>
      </c>
      <c r="F252" s="299">
        <v>118</v>
      </c>
      <c r="G252" s="92" t="s">
        <v>410</v>
      </c>
      <c r="H252" s="211"/>
      <c r="I252" s="107" t="s">
        <v>28</v>
      </c>
      <c r="J252" s="211"/>
      <c r="K252" s="114" t="s">
        <v>28</v>
      </c>
      <c r="L252" s="76" t="s">
        <v>23</v>
      </c>
      <c r="M252" s="81">
        <v>2900</v>
      </c>
      <c r="N252" s="81"/>
      <c r="O252" s="82"/>
      <c r="P252" s="292"/>
    </row>
    <row r="253" spans="1:16" s="47" customFormat="1" ht="18" customHeight="1" thickBot="1" x14ac:dyDescent="0.3">
      <c r="A253" s="104"/>
      <c r="B253" s="84" t="s">
        <v>1368</v>
      </c>
      <c r="C253" s="76">
        <v>75</v>
      </c>
      <c r="D253" s="299">
        <v>100</v>
      </c>
      <c r="E253" s="76">
        <v>120</v>
      </c>
      <c r="F253" s="299">
        <v>123</v>
      </c>
      <c r="G253" s="92" t="s">
        <v>410</v>
      </c>
      <c r="H253" s="211"/>
      <c r="I253" s="107" t="s">
        <v>28</v>
      </c>
      <c r="J253" s="211"/>
      <c r="K253" s="114" t="s">
        <v>28</v>
      </c>
      <c r="L253" s="76" t="s">
        <v>23</v>
      </c>
      <c r="M253" s="81">
        <v>2900</v>
      </c>
      <c r="N253" s="81"/>
      <c r="O253" s="82"/>
      <c r="P253" s="292"/>
    </row>
    <row r="254" spans="1:16" s="47" customFormat="1" ht="18" customHeight="1" thickBot="1" x14ac:dyDescent="0.3">
      <c r="A254" s="104"/>
      <c r="B254" s="84" t="s">
        <v>1369</v>
      </c>
      <c r="C254" s="76">
        <v>75</v>
      </c>
      <c r="D254" s="299">
        <v>100</v>
      </c>
      <c r="E254" s="76">
        <v>120</v>
      </c>
      <c r="F254" s="299">
        <v>130</v>
      </c>
      <c r="G254" s="92" t="s">
        <v>410</v>
      </c>
      <c r="H254" s="215"/>
      <c r="I254" s="107" t="s">
        <v>28</v>
      </c>
      <c r="J254" s="215"/>
      <c r="K254" s="114" t="s">
        <v>28</v>
      </c>
      <c r="L254" s="76" t="s">
        <v>23</v>
      </c>
      <c r="M254" s="81">
        <v>2900</v>
      </c>
      <c r="N254" s="81"/>
      <c r="O254" s="82"/>
      <c r="P254" s="292"/>
    </row>
    <row r="255" spans="1:16" s="47" customFormat="1" ht="18" customHeight="1" thickBot="1" x14ac:dyDescent="0.3">
      <c r="A255" s="104"/>
      <c r="B255" s="84" t="s">
        <v>1370</v>
      </c>
      <c r="C255" s="76">
        <v>75</v>
      </c>
      <c r="D255" s="299">
        <v>100</v>
      </c>
      <c r="E255" s="76">
        <v>120</v>
      </c>
      <c r="F255" s="299">
        <v>137.5</v>
      </c>
      <c r="G255" s="92" t="s">
        <v>410</v>
      </c>
      <c r="H255" s="211"/>
      <c r="I255" s="107" t="s">
        <v>28</v>
      </c>
      <c r="J255" s="211"/>
      <c r="K255" s="114" t="s">
        <v>28</v>
      </c>
      <c r="L255" s="76" t="s">
        <v>23</v>
      </c>
      <c r="M255" s="81">
        <v>2900</v>
      </c>
      <c r="N255" s="81"/>
      <c r="O255" s="82"/>
      <c r="P255" s="292"/>
    </row>
    <row r="256" spans="1:16" s="47" customFormat="1" ht="18" customHeight="1" thickBot="1" x14ac:dyDescent="0.3">
      <c r="A256" s="104"/>
      <c r="B256" s="84" t="s">
        <v>1371</v>
      </c>
      <c r="C256" s="76">
        <v>75</v>
      </c>
      <c r="D256" s="299">
        <v>100</v>
      </c>
      <c r="E256" s="76">
        <v>120</v>
      </c>
      <c r="F256" s="299">
        <v>145</v>
      </c>
      <c r="G256" s="92" t="s">
        <v>410</v>
      </c>
      <c r="H256" s="211"/>
      <c r="I256" s="107" t="s">
        <v>28</v>
      </c>
      <c r="J256" s="211"/>
      <c r="K256" s="114" t="s">
        <v>28</v>
      </c>
      <c r="L256" s="76" t="s">
        <v>23</v>
      </c>
      <c r="M256" s="81">
        <v>2900</v>
      </c>
      <c r="N256" s="81"/>
      <c r="O256" s="82"/>
      <c r="P256" s="292"/>
    </row>
    <row r="257" spans="1:16" s="47" customFormat="1" ht="18" customHeight="1" thickBot="1" x14ac:dyDescent="0.3">
      <c r="A257" s="104"/>
      <c r="B257" s="84" t="s">
        <v>1372</v>
      </c>
      <c r="C257" s="76">
        <v>11</v>
      </c>
      <c r="D257" s="299">
        <v>15</v>
      </c>
      <c r="E257" s="76">
        <v>150</v>
      </c>
      <c r="F257" s="299">
        <v>12.5</v>
      </c>
      <c r="G257" s="92" t="s">
        <v>410</v>
      </c>
      <c r="H257" s="215"/>
      <c r="I257" s="85">
        <v>5790.1110288000009</v>
      </c>
      <c r="J257" s="211"/>
      <c r="K257" s="86">
        <v>7361.1559593600023</v>
      </c>
      <c r="L257" s="76" t="s">
        <v>23</v>
      </c>
      <c r="M257" s="81">
        <v>2900</v>
      </c>
      <c r="N257" s="81"/>
      <c r="O257" s="82"/>
      <c r="P257" s="292"/>
    </row>
    <row r="258" spans="1:16" s="47" customFormat="1" ht="18" customHeight="1" thickBot="1" x14ac:dyDescent="0.3">
      <c r="A258" s="104"/>
      <c r="B258" s="84" t="s">
        <v>1373</v>
      </c>
      <c r="C258" s="76">
        <v>15</v>
      </c>
      <c r="D258" s="299">
        <v>20</v>
      </c>
      <c r="E258" s="76">
        <v>150</v>
      </c>
      <c r="F258" s="299">
        <v>18.5</v>
      </c>
      <c r="G258" s="92" t="s">
        <v>410</v>
      </c>
      <c r="H258" s="211"/>
      <c r="I258" s="85">
        <v>5976.5167566720011</v>
      </c>
      <c r="J258" s="211"/>
      <c r="K258" s="86">
        <v>7482.1014817920013</v>
      </c>
      <c r="L258" s="76" t="s">
        <v>23</v>
      </c>
      <c r="M258" s="81">
        <v>2900</v>
      </c>
      <c r="N258" s="81"/>
      <c r="O258" s="82"/>
      <c r="P258" s="292"/>
    </row>
    <row r="259" spans="1:16" s="47" customFormat="1" ht="18" customHeight="1" thickBot="1" x14ac:dyDescent="0.3">
      <c r="A259" s="104"/>
      <c r="B259" s="84" t="s">
        <v>1374</v>
      </c>
      <c r="C259" s="76">
        <v>18.5</v>
      </c>
      <c r="D259" s="299">
        <v>25</v>
      </c>
      <c r="E259" s="76">
        <v>150</v>
      </c>
      <c r="F259" s="299">
        <v>27.5</v>
      </c>
      <c r="G259" s="92" t="s">
        <v>410</v>
      </c>
      <c r="H259" s="211"/>
      <c r="I259" s="85">
        <v>6997.6959615360011</v>
      </c>
      <c r="J259" s="211"/>
      <c r="K259" s="86">
        <v>8820.9185406720007</v>
      </c>
      <c r="L259" s="76" t="s">
        <v>23</v>
      </c>
      <c r="M259" s="81">
        <v>2900</v>
      </c>
      <c r="N259" s="81"/>
      <c r="O259" s="82"/>
      <c r="P259" s="292"/>
    </row>
    <row r="260" spans="1:16" s="47" customFormat="1" ht="18" customHeight="1" thickBot="1" x14ac:dyDescent="0.3">
      <c r="A260" s="104"/>
      <c r="B260" s="84" t="s">
        <v>1375</v>
      </c>
      <c r="C260" s="76">
        <v>22</v>
      </c>
      <c r="D260" s="299">
        <v>30</v>
      </c>
      <c r="E260" s="76">
        <v>150</v>
      </c>
      <c r="F260" s="299">
        <v>35</v>
      </c>
      <c r="G260" s="92" t="s">
        <v>410</v>
      </c>
      <c r="H260" s="215"/>
      <c r="I260" s="85">
        <v>7695.003007104001</v>
      </c>
      <c r="J260" s="211"/>
      <c r="K260" s="86">
        <v>9603.0121380479995</v>
      </c>
      <c r="L260" s="76" t="s">
        <v>23</v>
      </c>
      <c r="M260" s="81">
        <v>2900</v>
      </c>
      <c r="N260" s="81"/>
      <c r="O260" s="82"/>
      <c r="P260" s="292"/>
    </row>
    <row r="261" spans="1:16" s="47" customFormat="1" ht="18" customHeight="1" thickBot="1" x14ac:dyDescent="0.3">
      <c r="A261" s="104"/>
      <c r="B261" s="84" t="s">
        <v>1376</v>
      </c>
      <c r="C261" s="76">
        <v>30</v>
      </c>
      <c r="D261" s="299">
        <v>40</v>
      </c>
      <c r="E261" s="76">
        <v>150</v>
      </c>
      <c r="F261" s="299">
        <v>40</v>
      </c>
      <c r="G261" s="92" t="s">
        <v>410</v>
      </c>
      <c r="H261" s="211"/>
      <c r="I261" s="107" t="s">
        <v>28</v>
      </c>
      <c r="J261" s="211"/>
      <c r="K261" s="114" t="s">
        <v>28</v>
      </c>
      <c r="L261" s="76" t="s">
        <v>23</v>
      </c>
      <c r="M261" s="81">
        <v>2900</v>
      </c>
      <c r="N261" s="81"/>
      <c r="O261" s="82"/>
      <c r="P261" s="292"/>
    </row>
    <row r="262" spans="1:16" s="47" customFormat="1" ht="18" customHeight="1" thickBot="1" x14ac:dyDescent="0.3">
      <c r="A262" s="104"/>
      <c r="B262" s="84" t="s">
        <v>1377</v>
      </c>
      <c r="C262" s="76">
        <v>30</v>
      </c>
      <c r="D262" s="299">
        <v>40</v>
      </c>
      <c r="E262" s="76">
        <v>150</v>
      </c>
      <c r="F262" s="299">
        <v>49</v>
      </c>
      <c r="G262" s="92" t="s">
        <v>410</v>
      </c>
      <c r="H262" s="211"/>
      <c r="I262" s="107" t="s">
        <v>28</v>
      </c>
      <c r="J262" s="211"/>
      <c r="K262" s="114" t="s">
        <v>28</v>
      </c>
      <c r="L262" s="76" t="s">
        <v>23</v>
      </c>
      <c r="M262" s="81">
        <v>2900</v>
      </c>
      <c r="N262" s="81"/>
      <c r="O262" s="82"/>
      <c r="P262" s="292"/>
    </row>
    <row r="263" spans="1:16" s="47" customFormat="1" ht="18" customHeight="1" thickBot="1" x14ac:dyDescent="0.3">
      <c r="A263" s="104"/>
      <c r="B263" s="84" t="s">
        <v>1378</v>
      </c>
      <c r="C263" s="76">
        <v>37</v>
      </c>
      <c r="D263" s="299">
        <v>50</v>
      </c>
      <c r="E263" s="76">
        <v>150</v>
      </c>
      <c r="F263" s="299">
        <v>56</v>
      </c>
      <c r="G263" s="92" t="s">
        <v>410</v>
      </c>
      <c r="H263" s="215"/>
      <c r="I263" s="107" t="s">
        <v>28</v>
      </c>
      <c r="J263" s="215"/>
      <c r="K263" s="114" t="s">
        <v>28</v>
      </c>
      <c r="L263" s="76" t="s">
        <v>23</v>
      </c>
      <c r="M263" s="81">
        <v>2900</v>
      </c>
      <c r="N263" s="81"/>
      <c r="O263" s="82"/>
      <c r="P263" s="292"/>
    </row>
    <row r="264" spans="1:16" s="47" customFormat="1" ht="18" customHeight="1" thickBot="1" x14ac:dyDescent="0.3">
      <c r="A264" s="104"/>
      <c r="B264" s="84" t="s">
        <v>1379</v>
      </c>
      <c r="C264" s="76">
        <v>37</v>
      </c>
      <c r="D264" s="299">
        <v>50</v>
      </c>
      <c r="E264" s="76">
        <v>150</v>
      </c>
      <c r="F264" s="299">
        <v>63</v>
      </c>
      <c r="G264" s="92" t="s">
        <v>410</v>
      </c>
      <c r="H264" s="211"/>
      <c r="I264" s="107" t="s">
        <v>28</v>
      </c>
      <c r="J264" s="211"/>
      <c r="K264" s="114" t="s">
        <v>28</v>
      </c>
      <c r="L264" s="76" t="s">
        <v>23</v>
      </c>
      <c r="M264" s="81">
        <v>2900</v>
      </c>
      <c r="N264" s="81"/>
      <c r="O264" s="82"/>
      <c r="P264" s="292"/>
    </row>
    <row r="265" spans="1:16" s="47" customFormat="1" ht="18" customHeight="1" thickBot="1" x14ac:dyDescent="0.3">
      <c r="A265" s="104"/>
      <c r="B265" s="84" t="s">
        <v>1380</v>
      </c>
      <c r="C265" s="76">
        <v>45</v>
      </c>
      <c r="D265" s="299">
        <v>60</v>
      </c>
      <c r="E265" s="76">
        <v>150</v>
      </c>
      <c r="F265" s="299">
        <v>70.5</v>
      </c>
      <c r="G265" s="92" t="s">
        <v>410</v>
      </c>
      <c r="H265" s="211"/>
      <c r="I265" s="107" t="s">
        <v>28</v>
      </c>
      <c r="J265" s="211"/>
      <c r="K265" s="114" t="s">
        <v>28</v>
      </c>
      <c r="L265" s="76" t="s">
        <v>23</v>
      </c>
      <c r="M265" s="81">
        <v>2900</v>
      </c>
      <c r="N265" s="81"/>
      <c r="O265" s="82"/>
      <c r="P265" s="292"/>
    </row>
    <row r="266" spans="1:16" s="47" customFormat="1" ht="18" customHeight="1" thickBot="1" x14ac:dyDescent="0.3">
      <c r="A266" s="104"/>
      <c r="B266" s="84" t="s">
        <v>1381</v>
      </c>
      <c r="C266" s="76">
        <v>45</v>
      </c>
      <c r="D266" s="299">
        <v>60</v>
      </c>
      <c r="E266" s="76">
        <v>150</v>
      </c>
      <c r="F266" s="299">
        <v>77</v>
      </c>
      <c r="G266" s="92" t="s">
        <v>410</v>
      </c>
      <c r="H266" s="215"/>
      <c r="I266" s="107" t="s">
        <v>28</v>
      </c>
      <c r="J266" s="215"/>
      <c r="K266" s="114" t="s">
        <v>28</v>
      </c>
      <c r="L266" s="76" t="s">
        <v>23</v>
      </c>
      <c r="M266" s="81">
        <v>2900</v>
      </c>
      <c r="N266" s="81"/>
      <c r="O266" s="82"/>
      <c r="P266" s="292"/>
    </row>
    <row r="267" spans="1:16" s="47" customFormat="1" ht="18" customHeight="1" thickBot="1" x14ac:dyDescent="0.3">
      <c r="A267" s="104"/>
      <c r="B267" s="84" t="s">
        <v>1382</v>
      </c>
      <c r="C267" s="76">
        <v>55</v>
      </c>
      <c r="D267" s="299">
        <v>75</v>
      </c>
      <c r="E267" s="76">
        <v>150</v>
      </c>
      <c r="F267" s="299">
        <v>84</v>
      </c>
      <c r="G267" s="92" t="s">
        <v>410</v>
      </c>
      <c r="H267" s="211"/>
      <c r="I267" s="107" t="s">
        <v>28</v>
      </c>
      <c r="J267" s="211"/>
      <c r="K267" s="114" t="s">
        <v>28</v>
      </c>
      <c r="L267" s="76" t="s">
        <v>23</v>
      </c>
      <c r="M267" s="81">
        <v>2900</v>
      </c>
      <c r="N267" s="81"/>
      <c r="O267" s="82"/>
      <c r="P267" s="292"/>
    </row>
    <row r="268" spans="1:16" s="47" customFormat="1" ht="18" customHeight="1" thickBot="1" x14ac:dyDescent="0.3">
      <c r="A268" s="104"/>
      <c r="B268" s="84" t="s">
        <v>1383</v>
      </c>
      <c r="C268" s="76">
        <v>55</v>
      </c>
      <c r="D268" s="299">
        <v>75</v>
      </c>
      <c r="E268" s="76">
        <v>150</v>
      </c>
      <c r="F268" s="299">
        <v>92</v>
      </c>
      <c r="G268" s="92" t="s">
        <v>410</v>
      </c>
      <c r="H268" s="211"/>
      <c r="I268" s="107" t="s">
        <v>28</v>
      </c>
      <c r="J268" s="211"/>
      <c r="K268" s="114" t="s">
        <v>28</v>
      </c>
      <c r="L268" s="76" t="s">
        <v>23</v>
      </c>
      <c r="M268" s="81">
        <v>2900</v>
      </c>
      <c r="N268" s="81"/>
      <c r="O268" s="82"/>
      <c r="P268" s="292"/>
    </row>
    <row r="269" spans="1:16" s="47" customFormat="1" ht="18" customHeight="1" thickBot="1" x14ac:dyDescent="0.3">
      <c r="A269" s="104"/>
      <c r="B269" s="84" t="s">
        <v>1384</v>
      </c>
      <c r="C269" s="76">
        <v>75</v>
      </c>
      <c r="D269" s="299">
        <v>100</v>
      </c>
      <c r="E269" s="76">
        <v>150</v>
      </c>
      <c r="F269" s="299">
        <v>99</v>
      </c>
      <c r="G269" s="92" t="s">
        <v>410</v>
      </c>
      <c r="H269" s="215"/>
      <c r="I269" s="107" t="s">
        <v>28</v>
      </c>
      <c r="J269" s="215"/>
      <c r="K269" s="114" t="s">
        <v>28</v>
      </c>
      <c r="L269" s="76" t="s">
        <v>23</v>
      </c>
      <c r="M269" s="81">
        <v>2900</v>
      </c>
      <c r="N269" s="81"/>
      <c r="O269" s="82"/>
      <c r="P269" s="292"/>
    </row>
    <row r="270" spans="1:16" s="47" customFormat="1" ht="18" customHeight="1" thickBot="1" x14ac:dyDescent="0.3">
      <c r="A270" s="104"/>
      <c r="B270" s="84" t="s">
        <v>1385</v>
      </c>
      <c r="C270" s="76">
        <v>75</v>
      </c>
      <c r="D270" s="299">
        <v>100</v>
      </c>
      <c r="E270" s="76">
        <v>150</v>
      </c>
      <c r="F270" s="299">
        <v>106.5</v>
      </c>
      <c r="G270" s="92" t="s">
        <v>410</v>
      </c>
      <c r="H270" s="211"/>
      <c r="I270" s="107" t="s">
        <v>28</v>
      </c>
      <c r="J270" s="211"/>
      <c r="K270" s="114" t="s">
        <v>28</v>
      </c>
      <c r="L270" s="76" t="s">
        <v>23</v>
      </c>
      <c r="M270" s="81">
        <v>2900</v>
      </c>
      <c r="N270" s="81"/>
      <c r="O270" s="82"/>
      <c r="P270" s="292"/>
    </row>
    <row r="271" spans="1:16" s="47" customFormat="1" ht="18" customHeight="1" thickBot="1" x14ac:dyDescent="0.3">
      <c r="A271" s="104"/>
      <c r="B271" s="84" t="s">
        <v>1386</v>
      </c>
      <c r="C271" s="76">
        <v>75</v>
      </c>
      <c r="D271" s="299">
        <v>100</v>
      </c>
      <c r="E271" s="76">
        <v>150</v>
      </c>
      <c r="F271" s="299">
        <v>112</v>
      </c>
      <c r="G271" s="92" t="s">
        <v>410</v>
      </c>
      <c r="H271" s="211"/>
      <c r="I271" s="107" t="s">
        <v>28</v>
      </c>
      <c r="J271" s="211"/>
      <c r="K271" s="114" t="s">
        <v>28</v>
      </c>
      <c r="L271" s="76" t="s">
        <v>23</v>
      </c>
      <c r="M271" s="81">
        <v>2900</v>
      </c>
      <c r="N271" s="81"/>
      <c r="O271" s="82"/>
      <c r="P271" s="292"/>
    </row>
    <row r="272" spans="1:16" s="47" customFormat="1" ht="18" customHeight="1" thickBot="1" x14ac:dyDescent="0.3">
      <c r="A272" s="104"/>
      <c r="B272" s="84" t="s">
        <v>1387</v>
      </c>
      <c r="C272" s="76">
        <v>75</v>
      </c>
      <c r="D272" s="299">
        <v>100</v>
      </c>
      <c r="E272" s="76">
        <v>150</v>
      </c>
      <c r="F272" s="299">
        <v>120.5</v>
      </c>
      <c r="G272" s="92" t="s">
        <v>410</v>
      </c>
      <c r="H272" s="215"/>
      <c r="I272" s="107" t="s">
        <v>28</v>
      </c>
      <c r="J272" s="215"/>
      <c r="K272" s="114" t="s">
        <v>28</v>
      </c>
      <c r="L272" s="76" t="s">
        <v>23</v>
      </c>
      <c r="M272" s="81">
        <v>2900</v>
      </c>
      <c r="N272" s="81"/>
      <c r="O272" s="82"/>
      <c r="P272" s="292"/>
    </row>
    <row r="273" spans="1:16" s="47" customFormat="1" ht="18" customHeight="1" thickBot="1" x14ac:dyDescent="0.3">
      <c r="A273" s="104"/>
      <c r="B273" s="84" t="s">
        <v>1388</v>
      </c>
      <c r="C273" s="76">
        <v>75</v>
      </c>
      <c r="D273" s="299">
        <v>100</v>
      </c>
      <c r="E273" s="76">
        <v>150</v>
      </c>
      <c r="F273" s="299">
        <v>130</v>
      </c>
      <c r="G273" s="92" t="s">
        <v>410</v>
      </c>
      <c r="H273" s="211"/>
      <c r="I273" s="107" t="s">
        <v>28</v>
      </c>
      <c r="J273" s="211"/>
      <c r="K273" s="114" t="s">
        <v>28</v>
      </c>
      <c r="L273" s="76" t="s">
        <v>23</v>
      </c>
      <c r="M273" s="81">
        <v>2900</v>
      </c>
      <c r="N273" s="81"/>
      <c r="O273" s="82"/>
      <c r="P273" s="292"/>
    </row>
    <row r="274" spans="1:16" s="47" customFormat="1" ht="18" customHeight="1" thickBot="1" x14ac:dyDescent="0.3">
      <c r="A274" s="104"/>
      <c r="B274" s="84" t="s">
        <v>1389</v>
      </c>
      <c r="C274" s="76">
        <v>18.5</v>
      </c>
      <c r="D274" s="299">
        <v>25</v>
      </c>
      <c r="E274" s="76">
        <v>200</v>
      </c>
      <c r="F274" s="299">
        <v>20</v>
      </c>
      <c r="G274" s="92" t="s">
        <v>412</v>
      </c>
      <c r="H274" s="211"/>
      <c r="I274" s="85">
        <v>7534.4696461440017</v>
      </c>
      <c r="J274" s="211"/>
      <c r="K274" s="86">
        <v>9779.7546927360017</v>
      </c>
      <c r="L274" s="76" t="s">
        <v>23</v>
      </c>
      <c r="M274" s="81">
        <v>2900</v>
      </c>
      <c r="N274" s="81"/>
      <c r="O274" s="82"/>
      <c r="P274" s="292"/>
    </row>
    <row r="275" spans="1:16" s="47" customFormat="1" ht="18" customHeight="1" thickBot="1" x14ac:dyDescent="0.3">
      <c r="A275" s="104"/>
      <c r="B275" s="84" t="s">
        <v>1390</v>
      </c>
      <c r="C275" s="76">
        <v>22</v>
      </c>
      <c r="D275" s="299">
        <v>30</v>
      </c>
      <c r="E275" s="76">
        <v>200</v>
      </c>
      <c r="F275" s="299">
        <v>24</v>
      </c>
      <c r="G275" s="92" t="s">
        <v>412</v>
      </c>
      <c r="H275" s="215"/>
      <c r="I275" s="85">
        <v>7887.9547555200006</v>
      </c>
      <c r="J275" s="211"/>
      <c r="K275" s="86">
        <v>10130.122649472003</v>
      </c>
      <c r="L275" s="76" t="s">
        <v>23</v>
      </c>
      <c r="M275" s="81">
        <v>2900</v>
      </c>
      <c r="N275" s="81"/>
      <c r="O275" s="82"/>
      <c r="P275" s="292"/>
    </row>
    <row r="276" spans="1:16" s="47" customFormat="1" ht="18" customHeight="1" thickBot="1" x14ac:dyDescent="0.3">
      <c r="A276" s="104"/>
      <c r="B276" s="84" t="s">
        <v>1391</v>
      </c>
      <c r="C276" s="76">
        <v>30</v>
      </c>
      <c r="D276" s="299">
        <v>40</v>
      </c>
      <c r="E276" s="76">
        <v>200</v>
      </c>
      <c r="F276" s="299">
        <v>34</v>
      </c>
      <c r="G276" s="92" t="s">
        <v>412</v>
      </c>
      <c r="H276" s="211"/>
      <c r="I276" s="107" t="s">
        <v>28</v>
      </c>
      <c r="J276" s="211"/>
      <c r="K276" s="114" t="s">
        <v>28</v>
      </c>
      <c r="L276" s="76" t="s">
        <v>23</v>
      </c>
      <c r="M276" s="81">
        <v>2900</v>
      </c>
      <c r="N276" s="81"/>
      <c r="O276" s="82"/>
      <c r="P276" s="292"/>
    </row>
    <row r="277" spans="1:16" s="47" customFormat="1" ht="18" customHeight="1" thickBot="1" x14ac:dyDescent="0.3">
      <c r="A277" s="104"/>
      <c r="B277" s="84" t="s">
        <v>1392</v>
      </c>
      <c r="C277" s="76">
        <v>37</v>
      </c>
      <c r="D277" s="299">
        <v>50</v>
      </c>
      <c r="E277" s="76">
        <v>200</v>
      </c>
      <c r="F277" s="299">
        <v>41</v>
      </c>
      <c r="G277" s="92" t="s">
        <v>412</v>
      </c>
      <c r="H277" s="211"/>
      <c r="I277" s="107" t="s">
        <v>28</v>
      </c>
      <c r="J277" s="211"/>
      <c r="K277" s="114" t="s">
        <v>28</v>
      </c>
      <c r="L277" s="76" t="s">
        <v>23</v>
      </c>
      <c r="M277" s="81">
        <v>2900</v>
      </c>
      <c r="N277" s="81"/>
      <c r="O277" s="82"/>
      <c r="P277" s="292"/>
    </row>
    <row r="278" spans="1:16" s="47" customFormat="1" ht="18" customHeight="1" thickBot="1" x14ac:dyDescent="0.3">
      <c r="A278" s="104"/>
      <c r="B278" s="84" t="s">
        <v>1393</v>
      </c>
      <c r="C278" s="76">
        <v>45</v>
      </c>
      <c r="D278" s="299">
        <v>60</v>
      </c>
      <c r="E278" s="76">
        <v>200</v>
      </c>
      <c r="F278" s="299">
        <v>49</v>
      </c>
      <c r="G278" s="92" t="s">
        <v>412</v>
      </c>
      <c r="H278" s="215"/>
      <c r="I278" s="107" t="s">
        <v>28</v>
      </c>
      <c r="J278" s="215"/>
      <c r="K278" s="114" t="s">
        <v>28</v>
      </c>
      <c r="L278" s="76" t="s">
        <v>23</v>
      </c>
      <c r="M278" s="81">
        <v>2900</v>
      </c>
      <c r="N278" s="81"/>
      <c r="O278" s="82"/>
      <c r="P278" s="292"/>
    </row>
    <row r="279" spans="1:16" s="47" customFormat="1" ht="18" customHeight="1" thickBot="1" x14ac:dyDescent="0.3">
      <c r="A279" s="104"/>
      <c r="B279" s="84" t="s">
        <v>1394</v>
      </c>
      <c r="C279" s="76">
        <v>55</v>
      </c>
      <c r="D279" s="299">
        <v>75</v>
      </c>
      <c r="E279" s="76">
        <v>200</v>
      </c>
      <c r="F279" s="299">
        <v>59</v>
      </c>
      <c r="G279" s="92" t="s">
        <v>412</v>
      </c>
      <c r="H279" s="211"/>
      <c r="I279" s="107" t="s">
        <v>28</v>
      </c>
      <c r="J279" s="211"/>
      <c r="K279" s="114" t="s">
        <v>28</v>
      </c>
      <c r="L279" s="76" t="s">
        <v>23</v>
      </c>
      <c r="M279" s="81">
        <v>2900</v>
      </c>
      <c r="N279" s="81"/>
      <c r="O279" s="82"/>
      <c r="P279" s="292"/>
    </row>
    <row r="280" spans="1:16" s="47" customFormat="1" ht="18" customHeight="1" thickBot="1" x14ac:dyDescent="0.3">
      <c r="A280" s="104"/>
      <c r="B280" s="84" t="s">
        <v>1395</v>
      </c>
      <c r="C280" s="76">
        <v>55</v>
      </c>
      <c r="D280" s="299">
        <v>75</v>
      </c>
      <c r="E280" s="76">
        <v>200</v>
      </c>
      <c r="F280" s="299">
        <v>69</v>
      </c>
      <c r="G280" s="92" t="s">
        <v>412</v>
      </c>
      <c r="H280" s="211"/>
      <c r="I280" s="107" t="s">
        <v>28</v>
      </c>
      <c r="J280" s="211"/>
      <c r="K280" s="114" t="s">
        <v>28</v>
      </c>
      <c r="L280" s="76" t="s">
        <v>23</v>
      </c>
      <c r="M280" s="81">
        <v>2900</v>
      </c>
      <c r="N280" s="81"/>
      <c r="O280" s="82"/>
      <c r="P280" s="292"/>
    </row>
    <row r="281" spans="1:16" s="47" customFormat="1" ht="18" customHeight="1" thickBot="1" x14ac:dyDescent="0.3">
      <c r="A281" s="104"/>
      <c r="B281" s="84" t="s">
        <v>1396</v>
      </c>
      <c r="C281" s="76">
        <v>75</v>
      </c>
      <c r="D281" s="299">
        <v>100</v>
      </c>
      <c r="E281" s="76">
        <v>200</v>
      </c>
      <c r="F281" s="299">
        <v>75</v>
      </c>
      <c r="G281" s="92" t="s">
        <v>412</v>
      </c>
      <c r="H281" s="215"/>
      <c r="I281" s="107" t="s">
        <v>28</v>
      </c>
      <c r="J281" s="215"/>
      <c r="K281" s="114" t="s">
        <v>28</v>
      </c>
      <c r="L281" s="76" t="s">
        <v>23</v>
      </c>
      <c r="M281" s="81">
        <v>2900</v>
      </c>
      <c r="N281" s="81"/>
      <c r="O281" s="82"/>
      <c r="P281" s="292"/>
    </row>
    <row r="282" spans="1:16" s="47" customFormat="1" ht="18" customHeight="1" thickBot="1" x14ac:dyDescent="0.3">
      <c r="A282" s="104"/>
      <c r="B282" s="84" t="s">
        <v>1397</v>
      </c>
      <c r="C282" s="76">
        <v>75</v>
      </c>
      <c r="D282" s="299">
        <v>100</v>
      </c>
      <c r="E282" s="76">
        <v>200</v>
      </c>
      <c r="F282" s="299">
        <v>79</v>
      </c>
      <c r="G282" s="92" t="s">
        <v>412</v>
      </c>
      <c r="H282" s="211"/>
      <c r="I282" s="107" t="s">
        <v>28</v>
      </c>
      <c r="J282" s="211"/>
      <c r="K282" s="114" t="s">
        <v>28</v>
      </c>
      <c r="L282" s="76" t="s">
        <v>23</v>
      </c>
      <c r="M282" s="81">
        <v>2900</v>
      </c>
      <c r="N282" s="81"/>
      <c r="O282" s="82"/>
      <c r="P282" s="292"/>
    </row>
    <row r="283" spans="1:16" s="47" customFormat="1" ht="18" customHeight="1" thickBot="1" x14ac:dyDescent="0.3">
      <c r="A283" s="104"/>
      <c r="B283" s="84" t="s">
        <v>1398</v>
      </c>
      <c r="C283" s="76">
        <v>75</v>
      </c>
      <c r="D283" s="299">
        <v>100</v>
      </c>
      <c r="E283" s="76">
        <v>200</v>
      </c>
      <c r="F283" s="299">
        <v>84</v>
      </c>
      <c r="G283" s="92" t="s">
        <v>412</v>
      </c>
      <c r="H283" s="211"/>
      <c r="I283" s="107" t="s">
        <v>28</v>
      </c>
      <c r="J283" s="211"/>
      <c r="K283" s="114" t="s">
        <v>28</v>
      </c>
      <c r="L283" s="76" t="s">
        <v>23</v>
      </c>
      <c r="M283" s="81">
        <v>2900</v>
      </c>
      <c r="N283" s="81"/>
      <c r="O283" s="82"/>
      <c r="P283" s="292"/>
    </row>
    <row r="284" spans="1:16" s="47" customFormat="1" ht="18" customHeight="1" thickBot="1" x14ac:dyDescent="0.3">
      <c r="A284" s="104"/>
      <c r="B284" s="84" t="s">
        <v>1399</v>
      </c>
      <c r="C284" s="76">
        <v>75</v>
      </c>
      <c r="D284" s="299">
        <v>100</v>
      </c>
      <c r="E284" s="76">
        <v>200</v>
      </c>
      <c r="F284" s="299">
        <v>89</v>
      </c>
      <c r="G284" s="92" t="s">
        <v>412</v>
      </c>
      <c r="H284" s="215"/>
      <c r="I284" s="107" t="s">
        <v>28</v>
      </c>
      <c r="J284" s="215"/>
      <c r="K284" s="114" t="s">
        <v>28</v>
      </c>
      <c r="L284" s="76" t="s">
        <v>23</v>
      </c>
      <c r="M284" s="81">
        <v>2900</v>
      </c>
      <c r="N284" s="81"/>
      <c r="O284" s="82"/>
      <c r="P284" s="292"/>
    </row>
    <row r="285" spans="1:16" s="47" customFormat="1" ht="18" customHeight="1" thickBot="1" x14ac:dyDescent="0.3">
      <c r="A285" s="104"/>
      <c r="B285" s="84" t="s">
        <v>1400</v>
      </c>
      <c r="C285" s="76">
        <v>75</v>
      </c>
      <c r="D285" s="299">
        <v>100</v>
      </c>
      <c r="E285" s="76">
        <v>200</v>
      </c>
      <c r="F285" s="299">
        <v>93</v>
      </c>
      <c r="G285" s="92" t="s">
        <v>412</v>
      </c>
      <c r="H285" s="211"/>
      <c r="I285" s="107" t="s">
        <v>28</v>
      </c>
      <c r="J285" s="211"/>
      <c r="K285" s="114" t="s">
        <v>28</v>
      </c>
      <c r="L285" s="76" t="s">
        <v>23</v>
      </c>
      <c r="M285" s="81">
        <v>2900</v>
      </c>
      <c r="N285" s="81"/>
      <c r="O285" s="82"/>
      <c r="P285" s="292"/>
    </row>
    <row r="286" spans="1:16" s="47" customFormat="1" ht="18" customHeight="1" thickBot="1" x14ac:dyDescent="0.3">
      <c r="A286" s="104"/>
      <c r="B286" s="84" t="s">
        <v>1401</v>
      </c>
      <c r="C286" s="76">
        <v>90</v>
      </c>
      <c r="D286" s="299">
        <v>125</v>
      </c>
      <c r="E286" s="76">
        <v>200</v>
      </c>
      <c r="F286" s="299">
        <v>103</v>
      </c>
      <c r="G286" s="92" t="s">
        <v>412</v>
      </c>
      <c r="H286" s="211"/>
      <c r="I286" s="107" t="s">
        <v>28</v>
      </c>
      <c r="J286" s="211"/>
      <c r="K286" s="114" t="s">
        <v>28</v>
      </c>
      <c r="L286" s="76" t="s">
        <v>23</v>
      </c>
      <c r="M286" s="81">
        <v>2900</v>
      </c>
      <c r="N286" s="81"/>
      <c r="O286" s="82"/>
      <c r="P286" s="292"/>
    </row>
    <row r="287" spans="1:16" s="47" customFormat="1" ht="18" customHeight="1" thickBot="1" x14ac:dyDescent="0.3">
      <c r="A287" s="104"/>
      <c r="B287" s="84" t="s">
        <v>1402</v>
      </c>
      <c r="C287" s="76">
        <v>90</v>
      </c>
      <c r="D287" s="299">
        <v>125</v>
      </c>
      <c r="E287" s="76">
        <v>200</v>
      </c>
      <c r="F287" s="299">
        <v>110</v>
      </c>
      <c r="G287" s="92" t="s">
        <v>412</v>
      </c>
      <c r="H287" s="215"/>
      <c r="I287" s="107" t="s">
        <v>28</v>
      </c>
      <c r="J287" s="215"/>
      <c r="K287" s="114" t="s">
        <v>28</v>
      </c>
      <c r="L287" s="76" t="s">
        <v>23</v>
      </c>
      <c r="M287" s="81">
        <v>2900</v>
      </c>
      <c r="N287" s="81"/>
      <c r="O287" s="82"/>
      <c r="P287" s="292"/>
    </row>
    <row r="288" spans="1:16" s="47" customFormat="1" ht="18" customHeight="1" thickBot="1" x14ac:dyDescent="0.3">
      <c r="A288" s="104"/>
      <c r="B288" s="84" t="s">
        <v>1403</v>
      </c>
      <c r="C288" s="76">
        <v>110</v>
      </c>
      <c r="D288" s="299">
        <v>150</v>
      </c>
      <c r="E288" s="76">
        <v>200</v>
      </c>
      <c r="F288" s="299">
        <v>118</v>
      </c>
      <c r="G288" s="92" t="s">
        <v>412</v>
      </c>
      <c r="H288" s="211"/>
      <c r="I288" s="107" t="s">
        <v>28</v>
      </c>
      <c r="J288" s="211"/>
      <c r="K288" s="114" t="s">
        <v>28</v>
      </c>
      <c r="L288" s="76" t="s">
        <v>23</v>
      </c>
      <c r="M288" s="81">
        <v>2900</v>
      </c>
      <c r="N288" s="81"/>
      <c r="O288" s="82"/>
      <c r="P288" s="292"/>
    </row>
    <row r="289" spans="1:16" s="47" customFormat="1" ht="18" customHeight="1" thickBot="1" x14ac:dyDescent="0.3">
      <c r="A289" s="104"/>
      <c r="B289" s="84" t="s">
        <v>1404</v>
      </c>
      <c r="C289" s="76">
        <v>110</v>
      </c>
      <c r="D289" s="299">
        <v>150</v>
      </c>
      <c r="E289" s="76">
        <v>200</v>
      </c>
      <c r="F289" s="299">
        <v>128</v>
      </c>
      <c r="G289" s="92" t="s">
        <v>412</v>
      </c>
      <c r="H289" s="211"/>
      <c r="I289" s="107" t="s">
        <v>28</v>
      </c>
      <c r="J289" s="211"/>
      <c r="K289" s="114" t="s">
        <v>28</v>
      </c>
      <c r="L289" s="76" t="s">
        <v>23</v>
      </c>
      <c r="M289" s="81">
        <v>2900</v>
      </c>
      <c r="N289" s="81"/>
      <c r="O289" s="82"/>
      <c r="P289" s="292"/>
    </row>
    <row r="290" spans="1:16" s="47" customFormat="1" ht="18" customHeight="1" thickBot="1" x14ac:dyDescent="0.3">
      <c r="A290" s="104"/>
      <c r="B290" s="84" t="s">
        <v>1405</v>
      </c>
      <c r="C290" s="76">
        <v>110</v>
      </c>
      <c r="D290" s="299">
        <v>150</v>
      </c>
      <c r="E290" s="76">
        <v>200</v>
      </c>
      <c r="F290" s="299">
        <v>138</v>
      </c>
      <c r="G290" s="92" t="s">
        <v>412</v>
      </c>
      <c r="H290" s="215"/>
      <c r="I290" s="107" t="s">
        <v>28</v>
      </c>
      <c r="J290" s="215"/>
      <c r="K290" s="114" t="s">
        <v>28</v>
      </c>
      <c r="L290" s="76" t="s">
        <v>23</v>
      </c>
      <c r="M290" s="81">
        <v>2900</v>
      </c>
      <c r="N290" s="81"/>
      <c r="O290" s="82"/>
      <c r="P290" s="292"/>
    </row>
    <row r="291" spans="1:16" s="271" customFormat="1" ht="8.25" customHeight="1" thickBot="1" x14ac:dyDescent="0.3">
      <c r="B291" s="302"/>
      <c r="C291" s="302"/>
      <c r="D291" s="302"/>
      <c r="E291" s="302"/>
      <c r="F291" s="302"/>
      <c r="G291" s="302"/>
      <c r="H291" s="302"/>
      <c r="I291" s="302"/>
      <c r="J291" s="302"/>
      <c r="K291" s="302"/>
      <c r="L291" s="302"/>
      <c r="M291" s="302"/>
      <c r="N291" s="302"/>
      <c r="O291" s="303"/>
    </row>
    <row r="292" spans="1:16" ht="15" customHeight="1" x14ac:dyDescent="0.25">
      <c r="B292" s="301" t="s">
        <v>306</v>
      </c>
      <c r="C292" s="354" t="s">
        <v>1411</v>
      </c>
      <c r="D292" s="355"/>
      <c r="E292" s="355"/>
      <c r="F292" s="355"/>
      <c r="G292" s="355"/>
      <c r="H292" s="355"/>
      <c r="I292" s="355"/>
      <c r="J292" s="355"/>
      <c r="K292" s="355"/>
      <c r="L292" s="355"/>
      <c r="M292" s="355"/>
      <c r="N292" s="355"/>
      <c r="O292" s="355"/>
      <c r="P292" s="63"/>
    </row>
    <row r="293" spans="1:16" ht="15" customHeight="1" x14ac:dyDescent="0.25">
      <c r="B293" s="115" t="s">
        <v>307</v>
      </c>
      <c r="C293" s="55" t="s">
        <v>1412</v>
      </c>
      <c r="D293" s="53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6" ht="15" customHeight="1" x14ac:dyDescent="0.25">
      <c r="B294" s="48" t="s">
        <v>35</v>
      </c>
      <c r="C294" s="49" t="s">
        <v>1296</v>
      </c>
      <c r="D294" s="50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</row>
    <row r="295" spans="1:16" ht="15" customHeight="1" x14ac:dyDescent="0.25">
      <c r="B295" s="181" t="s">
        <v>36</v>
      </c>
      <c r="C295" s="53" t="s">
        <v>1406</v>
      </c>
      <c r="D295" s="53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6" s="217" customFormat="1" ht="15" customHeight="1" x14ac:dyDescent="0.25">
      <c r="B296" s="205" t="s">
        <v>59</v>
      </c>
      <c r="C296" s="206" t="s">
        <v>1297</v>
      </c>
      <c r="D296" s="206"/>
      <c r="E296" s="207"/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</row>
  </sheetData>
  <mergeCells count="11">
    <mergeCell ref="A21:A22"/>
    <mergeCell ref="A34:A35"/>
    <mergeCell ref="C292:O292"/>
    <mergeCell ref="B6:O6"/>
    <mergeCell ref="B8:B10"/>
    <mergeCell ref="C8:D9"/>
    <mergeCell ref="E8:F8"/>
    <mergeCell ref="L8:L10"/>
    <mergeCell ref="M8:M9"/>
    <mergeCell ref="H8:K8"/>
    <mergeCell ref="J9:K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0"/>
  <sheetViews>
    <sheetView zoomScaleNormal="100" workbookViewId="0">
      <selection activeCell="Q8" sqref="Q8"/>
    </sheetView>
  </sheetViews>
  <sheetFormatPr defaultRowHeight="15.75" x14ac:dyDescent="0.25"/>
  <cols>
    <col min="1" max="1" width="34.28515625" style="1" customWidth="1"/>
    <col min="2" max="2" width="28.5703125" style="56" customWidth="1"/>
    <col min="3" max="6" width="8.5703125" style="56" customWidth="1"/>
    <col min="7" max="7" width="10.85546875" style="56" customWidth="1"/>
    <col min="8" max="8" width="14.28515625" style="177" customWidth="1"/>
    <col min="9" max="9" width="10.85546875" style="56" customWidth="1"/>
    <col min="10" max="10" width="14.28515625" style="177" customWidth="1"/>
    <col min="11" max="11" width="11" style="56" customWidth="1"/>
    <col min="12" max="15" width="10.85546875" style="56" customWidth="1"/>
    <col min="16" max="16" width="20.42578125" style="1" customWidth="1"/>
    <col min="17" max="39" width="9.140625" style="1"/>
    <col min="40" max="258" width="9.140625" style="56"/>
    <col min="259" max="259" width="34.28515625" style="56" customWidth="1"/>
    <col min="260" max="260" width="25.7109375" style="56" customWidth="1"/>
    <col min="261" max="264" width="8.5703125" style="56" customWidth="1"/>
    <col min="265" max="269" width="10.85546875" style="56" customWidth="1"/>
    <col min="270" max="271" width="8.5703125" style="56" customWidth="1"/>
    <col min="272" max="272" width="20.42578125" style="56" customWidth="1"/>
    <col min="273" max="514" width="9.140625" style="56"/>
    <col min="515" max="515" width="34.28515625" style="56" customWidth="1"/>
    <col min="516" max="516" width="25.7109375" style="56" customWidth="1"/>
    <col min="517" max="520" width="8.5703125" style="56" customWidth="1"/>
    <col min="521" max="525" width="10.85546875" style="56" customWidth="1"/>
    <col min="526" max="527" width="8.5703125" style="56" customWidth="1"/>
    <col min="528" max="528" width="20.42578125" style="56" customWidth="1"/>
    <col min="529" max="770" width="9.140625" style="56"/>
    <col min="771" max="771" width="34.28515625" style="56" customWidth="1"/>
    <col min="772" max="772" width="25.7109375" style="56" customWidth="1"/>
    <col min="773" max="776" width="8.5703125" style="56" customWidth="1"/>
    <col min="777" max="781" width="10.85546875" style="56" customWidth="1"/>
    <col min="782" max="783" width="8.5703125" style="56" customWidth="1"/>
    <col min="784" max="784" width="20.42578125" style="56" customWidth="1"/>
    <col min="785" max="1026" width="9.140625" style="56"/>
    <col min="1027" max="1027" width="34.28515625" style="56" customWidth="1"/>
    <col min="1028" max="1028" width="25.7109375" style="56" customWidth="1"/>
    <col min="1029" max="1032" width="8.5703125" style="56" customWidth="1"/>
    <col min="1033" max="1037" width="10.85546875" style="56" customWidth="1"/>
    <col min="1038" max="1039" width="8.5703125" style="56" customWidth="1"/>
    <col min="1040" max="1040" width="20.42578125" style="56" customWidth="1"/>
    <col min="1041" max="1282" width="9.140625" style="56"/>
    <col min="1283" max="1283" width="34.28515625" style="56" customWidth="1"/>
    <col min="1284" max="1284" width="25.7109375" style="56" customWidth="1"/>
    <col min="1285" max="1288" width="8.5703125" style="56" customWidth="1"/>
    <col min="1289" max="1293" width="10.85546875" style="56" customWidth="1"/>
    <col min="1294" max="1295" width="8.5703125" style="56" customWidth="1"/>
    <col min="1296" max="1296" width="20.42578125" style="56" customWidth="1"/>
    <col min="1297" max="1538" width="9.140625" style="56"/>
    <col min="1539" max="1539" width="34.28515625" style="56" customWidth="1"/>
    <col min="1540" max="1540" width="25.7109375" style="56" customWidth="1"/>
    <col min="1541" max="1544" width="8.5703125" style="56" customWidth="1"/>
    <col min="1545" max="1549" width="10.85546875" style="56" customWidth="1"/>
    <col min="1550" max="1551" width="8.5703125" style="56" customWidth="1"/>
    <col min="1552" max="1552" width="20.42578125" style="56" customWidth="1"/>
    <col min="1553" max="1794" width="9.140625" style="56"/>
    <col min="1795" max="1795" width="34.28515625" style="56" customWidth="1"/>
    <col min="1796" max="1796" width="25.7109375" style="56" customWidth="1"/>
    <col min="1797" max="1800" width="8.5703125" style="56" customWidth="1"/>
    <col min="1801" max="1805" width="10.85546875" style="56" customWidth="1"/>
    <col min="1806" max="1807" width="8.5703125" style="56" customWidth="1"/>
    <col min="1808" max="1808" width="20.42578125" style="56" customWidth="1"/>
    <col min="1809" max="2050" width="9.140625" style="56"/>
    <col min="2051" max="2051" width="34.28515625" style="56" customWidth="1"/>
    <col min="2052" max="2052" width="25.7109375" style="56" customWidth="1"/>
    <col min="2053" max="2056" width="8.5703125" style="56" customWidth="1"/>
    <col min="2057" max="2061" width="10.85546875" style="56" customWidth="1"/>
    <col min="2062" max="2063" width="8.5703125" style="56" customWidth="1"/>
    <col min="2064" max="2064" width="20.42578125" style="56" customWidth="1"/>
    <col min="2065" max="2306" width="9.140625" style="56"/>
    <col min="2307" max="2307" width="34.28515625" style="56" customWidth="1"/>
    <col min="2308" max="2308" width="25.7109375" style="56" customWidth="1"/>
    <col min="2309" max="2312" width="8.5703125" style="56" customWidth="1"/>
    <col min="2313" max="2317" width="10.85546875" style="56" customWidth="1"/>
    <col min="2318" max="2319" width="8.5703125" style="56" customWidth="1"/>
    <col min="2320" max="2320" width="20.42578125" style="56" customWidth="1"/>
    <col min="2321" max="2562" width="9.140625" style="56"/>
    <col min="2563" max="2563" width="34.28515625" style="56" customWidth="1"/>
    <col min="2564" max="2564" width="25.7109375" style="56" customWidth="1"/>
    <col min="2565" max="2568" width="8.5703125" style="56" customWidth="1"/>
    <col min="2569" max="2573" width="10.85546875" style="56" customWidth="1"/>
    <col min="2574" max="2575" width="8.5703125" style="56" customWidth="1"/>
    <col min="2576" max="2576" width="20.42578125" style="56" customWidth="1"/>
    <col min="2577" max="2818" width="9.140625" style="56"/>
    <col min="2819" max="2819" width="34.28515625" style="56" customWidth="1"/>
    <col min="2820" max="2820" width="25.7109375" style="56" customWidth="1"/>
    <col min="2821" max="2824" width="8.5703125" style="56" customWidth="1"/>
    <col min="2825" max="2829" width="10.85546875" style="56" customWidth="1"/>
    <col min="2830" max="2831" width="8.5703125" style="56" customWidth="1"/>
    <col min="2832" max="2832" width="20.42578125" style="56" customWidth="1"/>
    <col min="2833" max="3074" width="9.140625" style="56"/>
    <col min="3075" max="3075" width="34.28515625" style="56" customWidth="1"/>
    <col min="3076" max="3076" width="25.7109375" style="56" customWidth="1"/>
    <col min="3077" max="3080" width="8.5703125" style="56" customWidth="1"/>
    <col min="3081" max="3085" width="10.85546875" style="56" customWidth="1"/>
    <col min="3086" max="3087" width="8.5703125" style="56" customWidth="1"/>
    <col min="3088" max="3088" width="20.42578125" style="56" customWidth="1"/>
    <col min="3089" max="3330" width="9.140625" style="56"/>
    <col min="3331" max="3331" width="34.28515625" style="56" customWidth="1"/>
    <col min="3332" max="3332" width="25.7109375" style="56" customWidth="1"/>
    <col min="3333" max="3336" width="8.5703125" style="56" customWidth="1"/>
    <col min="3337" max="3341" width="10.85546875" style="56" customWidth="1"/>
    <col min="3342" max="3343" width="8.5703125" style="56" customWidth="1"/>
    <col min="3344" max="3344" width="20.42578125" style="56" customWidth="1"/>
    <col min="3345" max="3586" width="9.140625" style="56"/>
    <col min="3587" max="3587" width="34.28515625" style="56" customWidth="1"/>
    <col min="3588" max="3588" width="25.7109375" style="56" customWidth="1"/>
    <col min="3589" max="3592" width="8.5703125" style="56" customWidth="1"/>
    <col min="3593" max="3597" width="10.85546875" style="56" customWidth="1"/>
    <col min="3598" max="3599" width="8.5703125" style="56" customWidth="1"/>
    <col min="3600" max="3600" width="20.42578125" style="56" customWidth="1"/>
    <col min="3601" max="3842" width="9.140625" style="56"/>
    <col min="3843" max="3843" width="34.28515625" style="56" customWidth="1"/>
    <col min="3844" max="3844" width="25.7109375" style="56" customWidth="1"/>
    <col min="3845" max="3848" width="8.5703125" style="56" customWidth="1"/>
    <col min="3849" max="3853" width="10.85546875" style="56" customWidth="1"/>
    <col min="3854" max="3855" width="8.5703125" style="56" customWidth="1"/>
    <col min="3856" max="3856" width="20.42578125" style="56" customWidth="1"/>
    <col min="3857" max="4098" width="9.140625" style="56"/>
    <col min="4099" max="4099" width="34.28515625" style="56" customWidth="1"/>
    <col min="4100" max="4100" width="25.7109375" style="56" customWidth="1"/>
    <col min="4101" max="4104" width="8.5703125" style="56" customWidth="1"/>
    <col min="4105" max="4109" width="10.85546875" style="56" customWidth="1"/>
    <col min="4110" max="4111" width="8.5703125" style="56" customWidth="1"/>
    <col min="4112" max="4112" width="20.42578125" style="56" customWidth="1"/>
    <col min="4113" max="4354" width="9.140625" style="56"/>
    <col min="4355" max="4355" width="34.28515625" style="56" customWidth="1"/>
    <col min="4356" max="4356" width="25.7109375" style="56" customWidth="1"/>
    <col min="4357" max="4360" width="8.5703125" style="56" customWidth="1"/>
    <col min="4361" max="4365" width="10.85546875" style="56" customWidth="1"/>
    <col min="4366" max="4367" width="8.5703125" style="56" customWidth="1"/>
    <col min="4368" max="4368" width="20.42578125" style="56" customWidth="1"/>
    <col min="4369" max="4610" width="9.140625" style="56"/>
    <col min="4611" max="4611" width="34.28515625" style="56" customWidth="1"/>
    <col min="4612" max="4612" width="25.7109375" style="56" customWidth="1"/>
    <col min="4613" max="4616" width="8.5703125" style="56" customWidth="1"/>
    <col min="4617" max="4621" width="10.85546875" style="56" customWidth="1"/>
    <col min="4622" max="4623" width="8.5703125" style="56" customWidth="1"/>
    <col min="4624" max="4624" width="20.42578125" style="56" customWidth="1"/>
    <col min="4625" max="4866" width="9.140625" style="56"/>
    <col min="4867" max="4867" width="34.28515625" style="56" customWidth="1"/>
    <col min="4868" max="4868" width="25.7109375" style="56" customWidth="1"/>
    <col min="4869" max="4872" width="8.5703125" style="56" customWidth="1"/>
    <col min="4873" max="4877" width="10.85546875" style="56" customWidth="1"/>
    <col min="4878" max="4879" width="8.5703125" style="56" customWidth="1"/>
    <col min="4880" max="4880" width="20.42578125" style="56" customWidth="1"/>
    <col min="4881" max="5122" width="9.140625" style="56"/>
    <col min="5123" max="5123" width="34.28515625" style="56" customWidth="1"/>
    <col min="5124" max="5124" width="25.7109375" style="56" customWidth="1"/>
    <col min="5125" max="5128" width="8.5703125" style="56" customWidth="1"/>
    <col min="5129" max="5133" width="10.85546875" style="56" customWidth="1"/>
    <col min="5134" max="5135" width="8.5703125" style="56" customWidth="1"/>
    <col min="5136" max="5136" width="20.42578125" style="56" customWidth="1"/>
    <col min="5137" max="5378" width="9.140625" style="56"/>
    <col min="5379" max="5379" width="34.28515625" style="56" customWidth="1"/>
    <col min="5380" max="5380" width="25.7109375" style="56" customWidth="1"/>
    <col min="5381" max="5384" width="8.5703125" style="56" customWidth="1"/>
    <col min="5385" max="5389" width="10.85546875" style="56" customWidth="1"/>
    <col min="5390" max="5391" width="8.5703125" style="56" customWidth="1"/>
    <col min="5392" max="5392" width="20.42578125" style="56" customWidth="1"/>
    <col min="5393" max="5634" width="9.140625" style="56"/>
    <col min="5635" max="5635" width="34.28515625" style="56" customWidth="1"/>
    <col min="5636" max="5636" width="25.7109375" style="56" customWidth="1"/>
    <col min="5637" max="5640" width="8.5703125" style="56" customWidth="1"/>
    <col min="5641" max="5645" width="10.85546875" style="56" customWidth="1"/>
    <col min="5646" max="5647" width="8.5703125" style="56" customWidth="1"/>
    <col min="5648" max="5648" width="20.42578125" style="56" customWidth="1"/>
    <col min="5649" max="5890" width="9.140625" style="56"/>
    <col min="5891" max="5891" width="34.28515625" style="56" customWidth="1"/>
    <col min="5892" max="5892" width="25.7109375" style="56" customWidth="1"/>
    <col min="5893" max="5896" width="8.5703125" style="56" customWidth="1"/>
    <col min="5897" max="5901" width="10.85546875" style="56" customWidth="1"/>
    <col min="5902" max="5903" width="8.5703125" style="56" customWidth="1"/>
    <col min="5904" max="5904" width="20.42578125" style="56" customWidth="1"/>
    <col min="5905" max="6146" width="9.140625" style="56"/>
    <col min="6147" max="6147" width="34.28515625" style="56" customWidth="1"/>
    <col min="6148" max="6148" width="25.7109375" style="56" customWidth="1"/>
    <col min="6149" max="6152" width="8.5703125" style="56" customWidth="1"/>
    <col min="6153" max="6157" width="10.85546875" style="56" customWidth="1"/>
    <col min="6158" max="6159" width="8.5703125" style="56" customWidth="1"/>
    <col min="6160" max="6160" width="20.42578125" style="56" customWidth="1"/>
    <col min="6161" max="6402" width="9.140625" style="56"/>
    <col min="6403" max="6403" width="34.28515625" style="56" customWidth="1"/>
    <col min="6404" max="6404" width="25.7109375" style="56" customWidth="1"/>
    <col min="6405" max="6408" width="8.5703125" style="56" customWidth="1"/>
    <col min="6409" max="6413" width="10.85546875" style="56" customWidth="1"/>
    <col min="6414" max="6415" width="8.5703125" style="56" customWidth="1"/>
    <col min="6416" max="6416" width="20.42578125" style="56" customWidth="1"/>
    <col min="6417" max="6658" width="9.140625" style="56"/>
    <col min="6659" max="6659" width="34.28515625" style="56" customWidth="1"/>
    <col min="6660" max="6660" width="25.7109375" style="56" customWidth="1"/>
    <col min="6661" max="6664" width="8.5703125" style="56" customWidth="1"/>
    <col min="6665" max="6669" width="10.85546875" style="56" customWidth="1"/>
    <col min="6670" max="6671" width="8.5703125" style="56" customWidth="1"/>
    <col min="6672" max="6672" width="20.42578125" style="56" customWidth="1"/>
    <col min="6673" max="6914" width="9.140625" style="56"/>
    <col min="6915" max="6915" width="34.28515625" style="56" customWidth="1"/>
    <col min="6916" max="6916" width="25.7109375" style="56" customWidth="1"/>
    <col min="6917" max="6920" width="8.5703125" style="56" customWidth="1"/>
    <col min="6921" max="6925" width="10.85546875" style="56" customWidth="1"/>
    <col min="6926" max="6927" width="8.5703125" style="56" customWidth="1"/>
    <col min="6928" max="6928" width="20.42578125" style="56" customWidth="1"/>
    <col min="6929" max="7170" width="9.140625" style="56"/>
    <col min="7171" max="7171" width="34.28515625" style="56" customWidth="1"/>
    <col min="7172" max="7172" width="25.7109375" style="56" customWidth="1"/>
    <col min="7173" max="7176" width="8.5703125" style="56" customWidth="1"/>
    <col min="7177" max="7181" width="10.85546875" style="56" customWidth="1"/>
    <col min="7182" max="7183" width="8.5703125" style="56" customWidth="1"/>
    <col min="7184" max="7184" width="20.42578125" style="56" customWidth="1"/>
    <col min="7185" max="7426" width="9.140625" style="56"/>
    <col min="7427" max="7427" width="34.28515625" style="56" customWidth="1"/>
    <col min="7428" max="7428" width="25.7109375" style="56" customWidth="1"/>
    <col min="7429" max="7432" width="8.5703125" style="56" customWidth="1"/>
    <col min="7433" max="7437" width="10.85546875" style="56" customWidth="1"/>
    <col min="7438" max="7439" width="8.5703125" style="56" customWidth="1"/>
    <col min="7440" max="7440" width="20.42578125" style="56" customWidth="1"/>
    <col min="7441" max="7682" width="9.140625" style="56"/>
    <col min="7683" max="7683" width="34.28515625" style="56" customWidth="1"/>
    <col min="7684" max="7684" width="25.7109375" style="56" customWidth="1"/>
    <col min="7685" max="7688" width="8.5703125" style="56" customWidth="1"/>
    <col min="7689" max="7693" width="10.85546875" style="56" customWidth="1"/>
    <col min="7694" max="7695" width="8.5703125" style="56" customWidth="1"/>
    <col min="7696" max="7696" width="20.42578125" style="56" customWidth="1"/>
    <col min="7697" max="7938" width="9.140625" style="56"/>
    <col min="7939" max="7939" width="34.28515625" style="56" customWidth="1"/>
    <col min="7940" max="7940" width="25.7109375" style="56" customWidth="1"/>
    <col min="7941" max="7944" width="8.5703125" style="56" customWidth="1"/>
    <col min="7945" max="7949" width="10.85546875" style="56" customWidth="1"/>
    <col min="7950" max="7951" width="8.5703125" style="56" customWidth="1"/>
    <col min="7952" max="7952" width="20.42578125" style="56" customWidth="1"/>
    <col min="7953" max="8194" width="9.140625" style="56"/>
    <col min="8195" max="8195" width="34.28515625" style="56" customWidth="1"/>
    <col min="8196" max="8196" width="25.7109375" style="56" customWidth="1"/>
    <col min="8197" max="8200" width="8.5703125" style="56" customWidth="1"/>
    <col min="8201" max="8205" width="10.85546875" style="56" customWidth="1"/>
    <col min="8206" max="8207" width="8.5703125" style="56" customWidth="1"/>
    <col min="8208" max="8208" width="20.42578125" style="56" customWidth="1"/>
    <col min="8209" max="8450" width="9.140625" style="56"/>
    <col min="8451" max="8451" width="34.28515625" style="56" customWidth="1"/>
    <col min="8452" max="8452" width="25.7109375" style="56" customWidth="1"/>
    <col min="8453" max="8456" width="8.5703125" style="56" customWidth="1"/>
    <col min="8457" max="8461" width="10.85546875" style="56" customWidth="1"/>
    <col min="8462" max="8463" width="8.5703125" style="56" customWidth="1"/>
    <col min="8464" max="8464" width="20.42578125" style="56" customWidth="1"/>
    <col min="8465" max="8706" width="9.140625" style="56"/>
    <col min="8707" max="8707" width="34.28515625" style="56" customWidth="1"/>
    <col min="8708" max="8708" width="25.7109375" style="56" customWidth="1"/>
    <col min="8709" max="8712" width="8.5703125" style="56" customWidth="1"/>
    <col min="8713" max="8717" width="10.85546875" style="56" customWidth="1"/>
    <col min="8718" max="8719" width="8.5703125" style="56" customWidth="1"/>
    <col min="8720" max="8720" width="20.42578125" style="56" customWidth="1"/>
    <col min="8721" max="8962" width="9.140625" style="56"/>
    <col min="8963" max="8963" width="34.28515625" style="56" customWidth="1"/>
    <col min="8964" max="8964" width="25.7109375" style="56" customWidth="1"/>
    <col min="8965" max="8968" width="8.5703125" style="56" customWidth="1"/>
    <col min="8969" max="8973" width="10.85546875" style="56" customWidth="1"/>
    <col min="8974" max="8975" width="8.5703125" style="56" customWidth="1"/>
    <col min="8976" max="8976" width="20.42578125" style="56" customWidth="1"/>
    <col min="8977" max="9218" width="9.140625" style="56"/>
    <col min="9219" max="9219" width="34.28515625" style="56" customWidth="1"/>
    <col min="9220" max="9220" width="25.7109375" style="56" customWidth="1"/>
    <col min="9221" max="9224" width="8.5703125" style="56" customWidth="1"/>
    <col min="9225" max="9229" width="10.85546875" style="56" customWidth="1"/>
    <col min="9230" max="9231" width="8.5703125" style="56" customWidth="1"/>
    <col min="9232" max="9232" width="20.42578125" style="56" customWidth="1"/>
    <col min="9233" max="9474" width="9.140625" style="56"/>
    <col min="9475" max="9475" width="34.28515625" style="56" customWidth="1"/>
    <col min="9476" max="9476" width="25.7109375" style="56" customWidth="1"/>
    <col min="9477" max="9480" width="8.5703125" style="56" customWidth="1"/>
    <col min="9481" max="9485" width="10.85546875" style="56" customWidth="1"/>
    <col min="9486" max="9487" width="8.5703125" style="56" customWidth="1"/>
    <col min="9488" max="9488" width="20.42578125" style="56" customWidth="1"/>
    <col min="9489" max="9730" width="9.140625" style="56"/>
    <col min="9731" max="9731" width="34.28515625" style="56" customWidth="1"/>
    <col min="9732" max="9732" width="25.7109375" style="56" customWidth="1"/>
    <col min="9733" max="9736" width="8.5703125" style="56" customWidth="1"/>
    <col min="9737" max="9741" width="10.85546875" style="56" customWidth="1"/>
    <col min="9742" max="9743" width="8.5703125" style="56" customWidth="1"/>
    <col min="9744" max="9744" width="20.42578125" style="56" customWidth="1"/>
    <col min="9745" max="9986" width="9.140625" style="56"/>
    <col min="9987" max="9987" width="34.28515625" style="56" customWidth="1"/>
    <col min="9988" max="9988" width="25.7109375" style="56" customWidth="1"/>
    <col min="9989" max="9992" width="8.5703125" style="56" customWidth="1"/>
    <col min="9993" max="9997" width="10.85546875" style="56" customWidth="1"/>
    <col min="9998" max="9999" width="8.5703125" style="56" customWidth="1"/>
    <col min="10000" max="10000" width="20.42578125" style="56" customWidth="1"/>
    <col min="10001" max="10242" width="9.140625" style="56"/>
    <col min="10243" max="10243" width="34.28515625" style="56" customWidth="1"/>
    <col min="10244" max="10244" width="25.7109375" style="56" customWidth="1"/>
    <col min="10245" max="10248" width="8.5703125" style="56" customWidth="1"/>
    <col min="10249" max="10253" width="10.85546875" style="56" customWidth="1"/>
    <col min="10254" max="10255" width="8.5703125" style="56" customWidth="1"/>
    <col min="10256" max="10256" width="20.42578125" style="56" customWidth="1"/>
    <col min="10257" max="10498" width="9.140625" style="56"/>
    <col min="10499" max="10499" width="34.28515625" style="56" customWidth="1"/>
    <col min="10500" max="10500" width="25.7109375" style="56" customWidth="1"/>
    <col min="10501" max="10504" width="8.5703125" style="56" customWidth="1"/>
    <col min="10505" max="10509" width="10.85546875" style="56" customWidth="1"/>
    <col min="10510" max="10511" width="8.5703125" style="56" customWidth="1"/>
    <col min="10512" max="10512" width="20.42578125" style="56" customWidth="1"/>
    <col min="10513" max="10754" width="9.140625" style="56"/>
    <col min="10755" max="10755" width="34.28515625" style="56" customWidth="1"/>
    <col min="10756" max="10756" width="25.7109375" style="56" customWidth="1"/>
    <col min="10757" max="10760" width="8.5703125" style="56" customWidth="1"/>
    <col min="10761" max="10765" width="10.85546875" style="56" customWidth="1"/>
    <col min="10766" max="10767" width="8.5703125" style="56" customWidth="1"/>
    <col min="10768" max="10768" width="20.42578125" style="56" customWidth="1"/>
    <col min="10769" max="11010" width="9.140625" style="56"/>
    <col min="11011" max="11011" width="34.28515625" style="56" customWidth="1"/>
    <col min="11012" max="11012" width="25.7109375" style="56" customWidth="1"/>
    <col min="11013" max="11016" width="8.5703125" style="56" customWidth="1"/>
    <col min="11017" max="11021" width="10.85546875" style="56" customWidth="1"/>
    <col min="11022" max="11023" width="8.5703125" style="56" customWidth="1"/>
    <col min="11024" max="11024" width="20.42578125" style="56" customWidth="1"/>
    <col min="11025" max="11266" width="9.140625" style="56"/>
    <col min="11267" max="11267" width="34.28515625" style="56" customWidth="1"/>
    <col min="11268" max="11268" width="25.7109375" style="56" customWidth="1"/>
    <col min="11269" max="11272" width="8.5703125" style="56" customWidth="1"/>
    <col min="11273" max="11277" width="10.85546875" style="56" customWidth="1"/>
    <col min="11278" max="11279" width="8.5703125" style="56" customWidth="1"/>
    <col min="11280" max="11280" width="20.42578125" style="56" customWidth="1"/>
    <col min="11281" max="11522" width="9.140625" style="56"/>
    <col min="11523" max="11523" width="34.28515625" style="56" customWidth="1"/>
    <col min="11524" max="11524" width="25.7109375" style="56" customWidth="1"/>
    <col min="11525" max="11528" width="8.5703125" style="56" customWidth="1"/>
    <col min="11529" max="11533" width="10.85546875" style="56" customWidth="1"/>
    <col min="11534" max="11535" width="8.5703125" style="56" customWidth="1"/>
    <col min="11536" max="11536" width="20.42578125" style="56" customWidth="1"/>
    <col min="11537" max="11778" width="9.140625" style="56"/>
    <col min="11779" max="11779" width="34.28515625" style="56" customWidth="1"/>
    <col min="11780" max="11780" width="25.7109375" style="56" customWidth="1"/>
    <col min="11781" max="11784" width="8.5703125" style="56" customWidth="1"/>
    <col min="11785" max="11789" width="10.85546875" style="56" customWidth="1"/>
    <col min="11790" max="11791" width="8.5703125" style="56" customWidth="1"/>
    <col min="11792" max="11792" width="20.42578125" style="56" customWidth="1"/>
    <col min="11793" max="12034" width="9.140625" style="56"/>
    <col min="12035" max="12035" width="34.28515625" style="56" customWidth="1"/>
    <col min="12036" max="12036" width="25.7109375" style="56" customWidth="1"/>
    <col min="12037" max="12040" width="8.5703125" style="56" customWidth="1"/>
    <col min="12041" max="12045" width="10.85546875" style="56" customWidth="1"/>
    <col min="12046" max="12047" width="8.5703125" style="56" customWidth="1"/>
    <col min="12048" max="12048" width="20.42578125" style="56" customWidth="1"/>
    <col min="12049" max="12290" width="9.140625" style="56"/>
    <col min="12291" max="12291" width="34.28515625" style="56" customWidth="1"/>
    <col min="12292" max="12292" width="25.7109375" style="56" customWidth="1"/>
    <col min="12293" max="12296" width="8.5703125" style="56" customWidth="1"/>
    <col min="12297" max="12301" width="10.85546875" style="56" customWidth="1"/>
    <col min="12302" max="12303" width="8.5703125" style="56" customWidth="1"/>
    <col min="12304" max="12304" width="20.42578125" style="56" customWidth="1"/>
    <col min="12305" max="12546" width="9.140625" style="56"/>
    <col min="12547" max="12547" width="34.28515625" style="56" customWidth="1"/>
    <col min="12548" max="12548" width="25.7109375" style="56" customWidth="1"/>
    <col min="12549" max="12552" width="8.5703125" style="56" customWidth="1"/>
    <col min="12553" max="12557" width="10.85546875" style="56" customWidth="1"/>
    <col min="12558" max="12559" width="8.5703125" style="56" customWidth="1"/>
    <col min="12560" max="12560" width="20.42578125" style="56" customWidth="1"/>
    <col min="12561" max="12802" width="9.140625" style="56"/>
    <col min="12803" max="12803" width="34.28515625" style="56" customWidth="1"/>
    <col min="12804" max="12804" width="25.7109375" style="56" customWidth="1"/>
    <col min="12805" max="12808" width="8.5703125" style="56" customWidth="1"/>
    <col min="12809" max="12813" width="10.85546875" style="56" customWidth="1"/>
    <col min="12814" max="12815" width="8.5703125" style="56" customWidth="1"/>
    <col min="12816" max="12816" width="20.42578125" style="56" customWidth="1"/>
    <col min="12817" max="13058" width="9.140625" style="56"/>
    <col min="13059" max="13059" width="34.28515625" style="56" customWidth="1"/>
    <col min="13060" max="13060" width="25.7109375" style="56" customWidth="1"/>
    <col min="13061" max="13064" width="8.5703125" style="56" customWidth="1"/>
    <col min="13065" max="13069" width="10.85546875" style="56" customWidth="1"/>
    <col min="13070" max="13071" width="8.5703125" style="56" customWidth="1"/>
    <col min="13072" max="13072" width="20.42578125" style="56" customWidth="1"/>
    <col min="13073" max="13314" width="9.140625" style="56"/>
    <col min="13315" max="13315" width="34.28515625" style="56" customWidth="1"/>
    <col min="13316" max="13316" width="25.7109375" style="56" customWidth="1"/>
    <col min="13317" max="13320" width="8.5703125" style="56" customWidth="1"/>
    <col min="13321" max="13325" width="10.85546875" style="56" customWidth="1"/>
    <col min="13326" max="13327" width="8.5703125" style="56" customWidth="1"/>
    <col min="13328" max="13328" width="20.42578125" style="56" customWidth="1"/>
    <col min="13329" max="13570" width="9.140625" style="56"/>
    <col min="13571" max="13571" width="34.28515625" style="56" customWidth="1"/>
    <col min="13572" max="13572" width="25.7109375" style="56" customWidth="1"/>
    <col min="13573" max="13576" width="8.5703125" style="56" customWidth="1"/>
    <col min="13577" max="13581" width="10.85546875" style="56" customWidth="1"/>
    <col min="13582" max="13583" width="8.5703125" style="56" customWidth="1"/>
    <col min="13584" max="13584" width="20.42578125" style="56" customWidth="1"/>
    <col min="13585" max="13826" width="9.140625" style="56"/>
    <col min="13827" max="13827" width="34.28515625" style="56" customWidth="1"/>
    <col min="13828" max="13828" width="25.7109375" style="56" customWidth="1"/>
    <col min="13829" max="13832" width="8.5703125" style="56" customWidth="1"/>
    <col min="13833" max="13837" width="10.85546875" style="56" customWidth="1"/>
    <col min="13838" max="13839" width="8.5703125" style="56" customWidth="1"/>
    <col min="13840" max="13840" width="20.42578125" style="56" customWidth="1"/>
    <col min="13841" max="14082" width="9.140625" style="56"/>
    <col min="14083" max="14083" width="34.28515625" style="56" customWidth="1"/>
    <col min="14084" max="14084" width="25.7109375" style="56" customWidth="1"/>
    <col min="14085" max="14088" width="8.5703125" style="56" customWidth="1"/>
    <col min="14089" max="14093" width="10.85546875" style="56" customWidth="1"/>
    <col min="14094" max="14095" width="8.5703125" style="56" customWidth="1"/>
    <col min="14096" max="14096" width="20.42578125" style="56" customWidth="1"/>
    <col min="14097" max="14338" width="9.140625" style="56"/>
    <col min="14339" max="14339" width="34.28515625" style="56" customWidth="1"/>
    <col min="14340" max="14340" width="25.7109375" style="56" customWidth="1"/>
    <col min="14341" max="14344" width="8.5703125" style="56" customWidth="1"/>
    <col min="14345" max="14349" width="10.85546875" style="56" customWidth="1"/>
    <col min="14350" max="14351" width="8.5703125" style="56" customWidth="1"/>
    <col min="14352" max="14352" width="20.42578125" style="56" customWidth="1"/>
    <col min="14353" max="14594" width="9.140625" style="56"/>
    <col min="14595" max="14595" width="34.28515625" style="56" customWidth="1"/>
    <col min="14596" max="14596" width="25.7109375" style="56" customWidth="1"/>
    <col min="14597" max="14600" width="8.5703125" style="56" customWidth="1"/>
    <col min="14601" max="14605" width="10.85546875" style="56" customWidth="1"/>
    <col min="14606" max="14607" width="8.5703125" style="56" customWidth="1"/>
    <col min="14608" max="14608" width="20.42578125" style="56" customWidth="1"/>
    <col min="14609" max="14850" width="9.140625" style="56"/>
    <col min="14851" max="14851" width="34.28515625" style="56" customWidth="1"/>
    <col min="14852" max="14852" width="25.7109375" style="56" customWidth="1"/>
    <col min="14853" max="14856" width="8.5703125" style="56" customWidth="1"/>
    <col min="14857" max="14861" width="10.85546875" style="56" customWidth="1"/>
    <col min="14862" max="14863" width="8.5703125" style="56" customWidth="1"/>
    <col min="14864" max="14864" width="20.42578125" style="56" customWidth="1"/>
    <col min="14865" max="15106" width="9.140625" style="56"/>
    <col min="15107" max="15107" width="34.28515625" style="56" customWidth="1"/>
    <col min="15108" max="15108" width="25.7109375" style="56" customWidth="1"/>
    <col min="15109" max="15112" width="8.5703125" style="56" customWidth="1"/>
    <col min="15113" max="15117" width="10.85546875" style="56" customWidth="1"/>
    <col min="15118" max="15119" width="8.5703125" style="56" customWidth="1"/>
    <col min="15120" max="15120" width="20.42578125" style="56" customWidth="1"/>
    <col min="15121" max="15362" width="9.140625" style="56"/>
    <col min="15363" max="15363" width="34.28515625" style="56" customWidth="1"/>
    <col min="15364" max="15364" width="25.7109375" style="56" customWidth="1"/>
    <col min="15365" max="15368" width="8.5703125" style="56" customWidth="1"/>
    <col min="15369" max="15373" width="10.85546875" style="56" customWidth="1"/>
    <col min="15374" max="15375" width="8.5703125" style="56" customWidth="1"/>
    <col min="15376" max="15376" width="20.42578125" style="56" customWidth="1"/>
    <col min="15377" max="15618" width="9.140625" style="56"/>
    <col min="15619" max="15619" width="34.28515625" style="56" customWidth="1"/>
    <col min="15620" max="15620" width="25.7109375" style="56" customWidth="1"/>
    <col min="15621" max="15624" width="8.5703125" style="56" customWidth="1"/>
    <col min="15625" max="15629" width="10.85546875" style="56" customWidth="1"/>
    <col min="15630" max="15631" width="8.5703125" style="56" customWidth="1"/>
    <col min="15632" max="15632" width="20.42578125" style="56" customWidth="1"/>
    <col min="15633" max="15874" width="9.140625" style="56"/>
    <col min="15875" max="15875" width="34.28515625" style="56" customWidth="1"/>
    <col min="15876" max="15876" width="25.7109375" style="56" customWidth="1"/>
    <col min="15877" max="15880" width="8.5703125" style="56" customWidth="1"/>
    <col min="15881" max="15885" width="10.85546875" style="56" customWidth="1"/>
    <col min="15886" max="15887" width="8.5703125" style="56" customWidth="1"/>
    <col min="15888" max="15888" width="20.42578125" style="56" customWidth="1"/>
    <col min="15889" max="16130" width="9.140625" style="56"/>
    <col min="16131" max="16131" width="34.28515625" style="56" customWidth="1"/>
    <col min="16132" max="16132" width="25.7109375" style="56" customWidth="1"/>
    <col min="16133" max="16136" width="8.5703125" style="56" customWidth="1"/>
    <col min="16137" max="16141" width="10.85546875" style="56" customWidth="1"/>
    <col min="16142" max="16143" width="8.5703125" style="56" customWidth="1"/>
    <col min="16144" max="16144" width="20.42578125" style="56" customWidth="1"/>
    <col min="16145" max="16384" width="9.140625" style="56"/>
  </cols>
  <sheetData>
    <row r="1" spans="1:39" s="1" customFormat="1" x14ac:dyDescent="0.25">
      <c r="H1" s="175"/>
      <c r="J1" s="175"/>
    </row>
    <row r="2" spans="1:39" s="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9" s="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39" s="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39" s="8" customFormat="1" ht="18" customHeight="1" thickBot="1" x14ac:dyDescent="0.3">
      <c r="B5" s="9"/>
      <c r="L5" s="10"/>
      <c r="M5" s="10"/>
      <c r="N5" s="10"/>
      <c r="O5" s="11"/>
      <c r="P5" s="11"/>
    </row>
    <row r="6" spans="1:39" s="13" customFormat="1" ht="32.1" customHeight="1" thickBot="1" x14ac:dyDescent="0.3">
      <c r="A6" s="18"/>
      <c r="B6" s="359" t="s">
        <v>940</v>
      </c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8"/>
      <c r="N6" s="358"/>
      <c r="O6" s="358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39" s="17" customFormat="1" ht="18" customHeight="1" x14ac:dyDescent="0.25">
      <c r="A8" s="59"/>
      <c r="B8" s="341" t="s">
        <v>1</v>
      </c>
      <c r="C8" s="337" t="s">
        <v>2</v>
      </c>
      <c r="D8" s="338"/>
      <c r="E8" s="346" t="s">
        <v>3</v>
      </c>
      <c r="F8" s="346"/>
      <c r="G8" s="15" t="s">
        <v>4</v>
      </c>
      <c r="H8" s="330" t="s">
        <v>5</v>
      </c>
      <c r="I8" s="331"/>
      <c r="J8" s="331"/>
      <c r="K8" s="332"/>
      <c r="L8" s="325" t="s">
        <v>6</v>
      </c>
      <c r="M8" s="328" t="s">
        <v>7</v>
      </c>
      <c r="N8" s="312" t="s">
        <v>8</v>
      </c>
      <c r="O8" s="315" t="s">
        <v>9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8" t="s">
        <v>309</v>
      </c>
      <c r="B9" s="342"/>
      <c r="C9" s="339"/>
      <c r="D9" s="340"/>
      <c r="E9" s="19" t="s">
        <v>10</v>
      </c>
      <c r="F9" s="20" t="s">
        <v>11</v>
      </c>
      <c r="G9" s="116"/>
      <c r="H9" s="333" t="s">
        <v>42</v>
      </c>
      <c r="I9" s="349"/>
      <c r="J9" s="344" t="s">
        <v>43</v>
      </c>
      <c r="K9" s="349"/>
      <c r="L9" s="326"/>
      <c r="M9" s="329"/>
      <c r="N9" s="313"/>
      <c r="O9" s="316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43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17</v>
      </c>
      <c r="J10" s="202" t="s">
        <v>717</v>
      </c>
      <c r="K10" s="187" t="s">
        <v>18</v>
      </c>
      <c r="L10" s="327"/>
      <c r="M10" s="26" t="s">
        <v>19</v>
      </c>
      <c r="N10" s="27" t="s">
        <v>20</v>
      </c>
      <c r="O10" s="317" t="s">
        <v>21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17" customFormat="1" ht="18" customHeight="1" thickBot="1" x14ac:dyDescent="0.3">
      <c r="A11" s="59"/>
      <c r="B11" s="29" t="s">
        <v>310</v>
      </c>
      <c r="C11" s="30">
        <v>1.1000000000000001</v>
      </c>
      <c r="D11" s="31">
        <v>1.5</v>
      </c>
      <c r="E11" s="30">
        <v>12</v>
      </c>
      <c r="F11" s="31">
        <v>18.399999999999999</v>
      </c>
      <c r="G11" s="32" t="s">
        <v>22</v>
      </c>
      <c r="H11" s="228"/>
      <c r="I11" s="226">
        <v>573.00614582399987</v>
      </c>
      <c r="J11" s="229" t="s">
        <v>1171</v>
      </c>
      <c r="K11" s="79">
        <v>544.94817350400001</v>
      </c>
      <c r="L11" s="30" t="s">
        <v>23</v>
      </c>
      <c r="M11" s="34">
        <v>2900</v>
      </c>
      <c r="N11" s="34">
        <v>19.600000000000001</v>
      </c>
      <c r="O11" s="318">
        <f>0.43*0.34*0.27</f>
        <v>3.9474000000000002E-2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</row>
    <row r="12" spans="1:39" s="17" customFormat="1" ht="18" customHeight="1" thickBot="1" x14ac:dyDescent="0.3">
      <c r="A12" s="59"/>
      <c r="B12" s="29" t="s">
        <v>311</v>
      </c>
      <c r="C12" s="30">
        <v>1.5</v>
      </c>
      <c r="D12" s="31">
        <v>2</v>
      </c>
      <c r="E12" s="30">
        <v>12</v>
      </c>
      <c r="F12" s="31">
        <v>24.5</v>
      </c>
      <c r="G12" s="32" t="s">
        <v>22</v>
      </c>
      <c r="H12" s="228"/>
      <c r="I12" s="226">
        <v>591.39970545599999</v>
      </c>
      <c r="J12" s="229" t="s">
        <v>1172</v>
      </c>
      <c r="K12" s="79">
        <v>564</v>
      </c>
      <c r="L12" s="30" t="s">
        <v>23</v>
      </c>
      <c r="M12" s="34">
        <v>2900</v>
      </c>
      <c r="N12" s="34">
        <v>22.5</v>
      </c>
      <c r="O12" s="318">
        <f>0.43*0.34*0.27</f>
        <v>3.9474000000000002E-2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</row>
    <row r="13" spans="1:39" ht="18" customHeight="1" thickBot="1" x14ac:dyDescent="0.3">
      <c r="A13" s="118"/>
      <c r="B13" s="29" t="s">
        <v>312</v>
      </c>
      <c r="C13" s="30">
        <v>2.2000000000000002</v>
      </c>
      <c r="D13" s="31">
        <v>3</v>
      </c>
      <c r="E13" s="30">
        <v>12</v>
      </c>
      <c r="F13" s="31">
        <v>32</v>
      </c>
      <c r="G13" s="32" t="s">
        <v>22</v>
      </c>
      <c r="H13" s="228"/>
      <c r="I13" s="226">
        <v>666.220964976</v>
      </c>
      <c r="J13" s="229" t="s">
        <v>1173</v>
      </c>
      <c r="K13" s="79">
        <v>636</v>
      </c>
      <c r="L13" s="30" t="s">
        <v>23</v>
      </c>
      <c r="M13" s="34">
        <v>2900</v>
      </c>
      <c r="N13" s="34">
        <v>24.6</v>
      </c>
      <c r="O13" s="318">
        <f>0.43*0.34*0.27</f>
        <v>3.9474000000000002E-2</v>
      </c>
    </row>
    <row r="14" spans="1:39" ht="18" customHeight="1" thickBot="1" x14ac:dyDescent="0.3">
      <c r="A14" s="118"/>
      <c r="B14" s="29" t="s">
        <v>313</v>
      </c>
      <c r="C14" s="30">
        <v>3</v>
      </c>
      <c r="D14" s="31">
        <v>4</v>
      </c>
      <c r="E14" s="30">
        <v>15</v>
      </c>
      <c r="F14" s="31">
        <v>35</v>
      </c>
      <c r="G14" s="32" t="s">
        <v>22</v>
      </c>
      <c r="H14" s="228"/>
      <c r="I14" s="226">
        <v>857.32693200000006</v>
      </c>
      <c r="J14" s="229" t="s">
        <v>1174</v>
      </c>
      <c r="K14" s="79">
        <v>791.54657467199991</v>
      </c>
      <c r="L14" s="30" t="s">
        <v>23</v>
      </c>
      <c r="M14" s="34">
        <v>2900</v>
      </c>
      <c r="N14" s="34">
        <v>32.799999999999997</v>
      </c>
      <c r="O14" s="318">
        <f t="shared" ref="O14:O20" si="0">0.45*0.39*0.32</f>
        <v>5.6160000000000009E-2</v>
      </c>
    </row>
    <row r="15" spans="1:39" ht="18" customHeight="1" thickBot="1" x14ac:dyDescent="0.3">
      <c r="B15" s="29" t="s">
        <v>314</v>
      </c>
      <c r="C15" s="30">
        <v>4</v>
      </c>
      <c r="D15" s="31">
        <v>5.5</v>
      </c>
      <c r="E15" s="30">
        <v>18</v>
      </c>
      <c r="F15" s="31">
        <v>43.5</v>
      </c>
      <c r="G15" s="32" t="s">
        <v>22</v>
      </c>
      <c r="H15" s="193"/>
      <c r="I15" s="189"/>
      <c r="J15" s="229" t="s">
        <v>1175</v>
      </c>
      <c r="K15" s="79">
        <v>895.98458275199994</v>
      </c>
      <c r="L15" s="30" t="s">
        <v>23</v>
      </c>
      <c r="M15" s="34">
        <v>2900</v>
      </c>
      <c r="N15" s="34">
        <v>39.5</v>
      </c>
      <c r="O15" s="318">
        <f t="shared" si="0"/>
        <v>5.6160000000000009E-2</v>
      </c>
    </row>
    <row r="16" spans="1:39" s="17" customFormat="1" ht="18" customHeight="1" thickBot="1" x14ac:dyDescent="0.3">
      <c r="A16" s="47"/>
      <c r="B16" s="29" t="s">
        <v>315</v>
      </c>
      <c r="C16" s="30">
        <v>5.5</v>
      </c>
      <c r="D16" s="31">
        <v>7.5</v>
      </c>
      <c r="E16" s="30">
        <v>18</v>
      </c>
      <c r="F16" s="31">
        <v>58.5</v>
      </c>
      <c r="G16" s="32" t="s">
        <v>22</v>
      </c>
      <c r="H16" s="193"/>
      <c r="I16" s="189"/>
      <c r="J16" s="229" t="s">
        <v>1176</v>
      </c>
      <c r="K16" s="79">
        <v>1018.5043952160001</v>
      </c>
      <c r="L16" s="30" t="s">
        <v>23</v>
      </c>
      <c r="M16" s="34">
        <v>2900</v>
      </c>
      <c r="N16" s="34">
        <v>48.5</v>
      </c>
      <c r="O16" s="318">
        <f>0.5*0.39*0.32</f>
        <v>6.2400000000000004E-2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</row>
    <row r="17" spans="1:39" s="17" customFormat="1" ht="18" customHeight="1" thickBot="1" x14ac:dyDescent="0.3">
      <c r="A17" s="47"/>
      <c r="B17" s="29" t="s">
        <v>316</v>
      </c>
      <c r="C17" s="30">
        <v>1.5</v>
      </c>
      <c r="D17" s="31">
        <v>2</v>
      </c>
      <c r="E17" s="30">
        <v>20</v>
      </c>
      <c r="F17" s="31">
        <v>17</v>
      </c>
      <c r="G17" s="32" t="s">
        <v>25</v>
      </c>
      <c r="H17" s="228"/>
      <c r="I17" s="226">
        <v>646.89213959999995</v>
      </c>
      <c r="J17" s="229" t="s">
        <v>1177</v>
      </c>
      <c r="K17" s="79">
        <v>617</v>
      </c>
      <c r="L17" s="30" t="s">
        <v>23</v>
      </c>
      <c r="M17" s="34">
        <v>2900</v>
      </c>
      <c r="N17" s="34">
        <v>20.100000000000001</v>
      </c>
      <c r="O17" s="318">
        <f>0.43*0.34*0.27</f>
        <v>3.9474000000000002E-2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</row>
    <row r="18" spans="1:39" s="17" customFormat="1" ht="18" customHeight="1" thickBot="1" x14ac:dyDescent="0.3">
      <c r="A18" s="59"/>
      <c r="B18" s="29" t="s">
        <v>317</v>
      </c>
      <c r="C18" s="30">
        <v>2.2000000000000002</v>
      </c>
      <c r="D18" s="31">
        <v>3</v>
      </c>
      <c r="E18" s="30">
        <v>20</v>
      </c>
      <c r="F18" s="31">
        <v>23.5</v>
      </c>
      <c r="G18" s="32" t="s">
        <v>25</v>
      </c>
      <c r="H18" s="228"/>
      <c r="I18" s="226">
        <v>729.50728031999995</v>
      </c>
      <c r="J18" s="229" t="s">
        <v>1178</v>
      </c>
      <c r="K18" s="79">
        <v>694.59069254399981</v>
      </c>
      <c r="L18" s="30" t="s">
        <v>23</v>
      </c>
      <c r="M18" s="34">
        <v>2900</v>
      </c>
      <c r="N18" s="34">
        <v>22.7</v>
      </c>
      <c r="O18" s="318">
        <f>0.43*0.34*0.27</f>
        <v>3.9474000000000002E-2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</row>
    <row r="19" spans="1:39" s="17" customFormat="1" ht="18" customHeight="1" thickBot="1" x14ac:dyDescent="0.3">
      <c r="A19" s="59"/>
      <c r="B19" s="29" t="s">
        <v>318</v>
      </c>
      <c r="C19" s="30">
        <v>3</v>
      </c>
      <c r="D19" s="31">
        <v>4</v>
      </c>
      <c r="E19" s="30">
        <v>22</v>
      </c>
      <c r="F19" s="31">
        <v>26.5</v>
      </c>
      <c r="G19" s="32" t="s">
        <v>25</v>
      </c>
      <c r="H19" s="228"/>
      <c r="I19" s="226">
        <v>869.17363142399984</v>
      </c>
      <c r="J19" s="229" t="s">
        <v>1179</v>
      </c>
      <c r="K19" s="79">
        <v>799</v>
      </c>
      <c r="L19" s="30" t="s">
        <v>23</v>
      </c>
      <c r="M19" s="34">
        <v>2900</v>
      </c>
      <c r="N19" s="34">
        <v>28</v>
      </c>
      <c r="O19" s="318">
        <f t="shared" si="0"/>
        <v>5.6160000000000009E-2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</row>
    <row r="20" spans="1:39" s="17" customFormat="1" ht="18" customHeight="1" thickBot="1" x14ac:dyDescent="0.3">
      <c r="A20" s="59"/>
      <c r="B20" s="29" t="s">
        <v>319</v>
      </c>
      <c r="C20" s="30">
        <v>4</v>
      </c>
      <c r="D20" s="31">
        <v>5.5</v>
      </c>
      <c r="E20" s="30">
        <v>22</v>
      </c>
      <c r="F20" s="31">
        <v>35</v>
      </c>
      <c r="G20" s="32" t="s">
        <v>25</v>
      </c>
      <c r="H20" s="193"/>
      <c r="I20" s="189"/>
      <c r="J20" s="229" t="s">
        <v>1180</v>
      </c>
      <c r="K20" s="79">
        <v>904</v>
      </c>
      <c r="L20" s="30" t="s">
        <v>23</v>
      </c>
      <c r="M20" s="34">
        <v>2900</v>
      </c>
      <c r="N20" s="34">
        <v>35.1</v>
      </c>
      <c r="O20" s="318">
        <f t="shared" si="0"/>
        <v>5.6160000000000009E-2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</row>
    <row r="21" spans="1:39" s="17" customFormat="1" ht="18" customHeight="1" thickBot="1" x14ac:dyDescent="0.3">
      <c r="A21" s="47"/>
      <c r="B21" s="29" t="s">
        <v>320</v>
      </c>
      <c r="C21" s="30">
        <v>5.5</v>
      </c>
      <c r="D21" s="31">
        <v>7.5</v>
      </c>
      <c r="E21" s="30">
        <v>24</v>
      </c>
      <c r="F21" s="31">
        <v>41</v>
      </c>
      <c r="G21" s="32" t="s">
        <v>25</v>
      </c>
      <c r="H21" s="193"/>
      <c r="I21" s="189"/>
      <c r="J21" s="229" t="s">
        <v>1181</v>
      </c>
      <c r="K21" s="79">
        <v>1012.8928007520001</v>
      </c>
      <c r="L21" s="30" t="s">
        <v>23</v>
      </c>
      <c r="M21" s="34">
        <v>2900</v>
      </c>
      <c r="N21" s="34">
        <v>48.8</v>
      </c>
      <c r="O21" s="318">
        <f>0.52*0.39*0.32</f>
        <v>6.4896000000000009E-2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</row>
    <row r="22" spans="1:39" s="17" customFormat="1" ht="18" customHeight="1" thickBot="1" x14ac:dyDescent="0.3">
      <c r="A22" s="47"/>
      <c r="B22" s="38" t="s">
        <v>321</v>
      </c>
      <c r="C22" s="30">
        <v>7.5</v>
      </c>
      <c r="D22" s="31">
        <v>10</v>
      </c>
      <c r="E22" s="30">
        <v>24</v>
      </c>
      <c r="F22" s="31">
        <v>53.5</v>
      </c>
      <c r="G22" s="32" t="s">
        <v>25</v>
      </c>
      <c r="H22" s="193"/>
      <c r="I22" s="189"/>
      <c r="J22" s="229" t="s">
        <v>1182</v>
      </c>
      <c r="K22" s="79">
        <v>1112.342724864</v>
      </c>
      <c r="L22" s="30" t="s">
        <v>23</v>
      </c>
      <c r="M22" s="34">
        <v>2900</v>
      </c>
      <c r="N22" s="34">
        <v>56.2</v>
      </c>
      <c r="O22" s="318">
        <f>0.52*0.39*0.32</f>
        <v>6.4896000000000009E-2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</row>
    <row r="23" spans="1:39" s="17" customFormat="1" ht="18" customHeight="1" thickBot="1" x14ac:dyDescent="0.3">
      <c r="A23" s="47"/>
      <c r="B23" s="38" t="s">
        <v>322</v>
      </c>
      <c r="C23" s="30">
        <v>11</v>
      </c>
      <c r="D23" s="31">
        <v>15</v>
      </c>
      <c r="E23" s="30">
        <v>24</v>
      </c>
      <c r="F23" s="31">
        <v>68.5</v>
      </c>
      <c r="G23" s="32" t="s">
        <v>25</v>
      </c>
      <c r="H23" s="193"/>
      <c r="I23" s="189"/>
      <c r="J23" s="229" t="s">
        <v>1183</v>
      </c>
      <c r="K23" s="79">
        <v>1529</v>
      </c>
      <c r="L23" s="30" t="s">
        <v>23</v>
      </c>
      <c r="M23" s="34">
        <v>2900</v>
      </c>
      <c r="N23" s="34">
        <v>67.5</v>
      </c>
      <c r="O23" s="318">
        <f>0.61*0.45*0.32</f>
        <v>8.7840000000000015E-2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</row>
    <row r="24" spans="1:39" s="17" customFormat="1" ht="18" customHeight="1" thickBot="1" x14ac:dyDescent="0.3">
      <c r="A24" s="47"/>
      <c r="B24" s="38" t="s">
        <v>323</v>
      </c>
      <c r="C24" s="30">
        <v>2.2000000000000002</v>
      </c>
      <c r="D24" s="31">
        <v>3</v>
      </c>
      <c r="E24" s="30">
        <v>36</v>
      </c>
      <c r="F24" s="31">
        <v>14.9</v>
      </c>
      <c r="G24" s="32" t="s">
        <v>26</v>
      </c>
      <c r="H24" s="228"/>
      <c r="I24" s="226">
        <v>651.56846831999997</v>
      </c>
      <c r="J24" s="229" t="s">
        <v>1184</v>
      </c>
      <c r="K24" s="79">
        <v>622</v>
      </c>
      <c r="L24" s="30" t="s">
        <v>23</v>
      </c>
      <c r="M24" s="34">
        <v>2900</v>
      </c>
      <c r="N24" s="34">
        <v>28.1</v>
      </c>
      <c r="O24" s="318">
        <f>0.45*0.39*0.32</f>
        <v>5.6160000000000009E-2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</row>
    <row r="25" spans="1:39" s="17" customFormat="1" ht="18" customHeight="1" thickBot="1" x14ac:dyDescent="0.3">
      <c r="A25" s="60"/>
      <c r="B25" s="38" t="s">
        <v>324</v>
      </c>
      <c r="C25" s="30">
        <v>3</v>
      </c>
      <c r="D25" s="31">
        <v>4</v>
      </c>
      <c r="E25" s="30">
        <v>36</v>
      </c>
      <c r="F25" s="31">
        <v>18.399999999999999</v>
      </c>
      <c r="G25" s="32" t="s">
        <v>26</v>
      </c>
      <c r="H25" s="228"/>
      <c r="I25" s="226">
        <v>880.39682035199996</v>
      </c>
      <c r="J25" s="229" t="s">
        <v>1185</v>
      </c>
      <c r="K25" s="79">
        <v>807.7578475680001</v>
      </c>
      <c r="L25" s="30" t="s">
        <v>23</v>
      </c>
      <c r="M25" s="34">
        <v>2900</v>
      </c>
      <c r="N25" s="34">
        <v>28.6</v>
      </c>
      <c r="O25" s="318">
        <f>0.45*0.39*0.32</f>
        <v>5.6160000000000009E-2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</row>
    <row r="26" spans="1:39" s="17" customFormat="1" ht="18" customHeight="1" thickBot="1" x14ac:dyDescent="0.3">
      <c r="A26" s="47"/>
      <c r="B26" s="29" t="s">
        <v>325</v>
      </c>
      <c r="C26" s="30">
        <v>4</v>
      </c>
      <c r="D26" s="31">
        <v>5.5</v>
      </c>
      <c r="E26" s="30">
        <v>36</v>
      </c>
      <c r="F26" s="31">
        <v>24</v>
      </c>
      <c r="G26" s="32" t="s">
        <v>26</v>
      </c>
      <c r="H26" s="193"/>
      <c r="I26" s="236"/>
      <c r="J26" s="230" t="s">
        <v>1186</v>
      </c>
      <c r="K26" s="79">
        <v>913</v>
      </c>
      <c r="L26" s="30" t="s">
        <v>23</v>
      </c>
      <c r="M26" s="34">
        <v>2900</v>
      </c>
      <c r="N26" s="34">
        <v>35.200000000000003</v>
      </c>
      <c r="O26" s="318">
        <f>0.45*0.39*0.32</f>
        <v>5.6160000000000009E-2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</row>
    <row r="27" spans="1:39" s="17" customFormat="1" ht="18" customHeight="1" thickBot="1" x14ac:dyDescent="0.3">
      <c r="A27" s="47"/>
      <c r="B27" s="29" t="s">
        <v>326</v>
      </c>
      <c r="C27" s="30">
        <v>5.5</v>
      </c>
      <c r="D27" s="31">
        <v>7.5</v>
      </c>
      <c r="E27" s="30">
        <v>42</v>
      </c>
      <c r="F27" s="31">
        <v>27</v>
      </c>
      <c r="G27" s="32" t="s">
        <v>26</v>
      </c>
      <c r="H27" s="193"/>
      <c r="I27" s="236"/>
      <c r="J27" s="230" t="s">
        <v>1187</v>
      </c>
      <c r="K27" s="79">
        <v>1022.8689686879998</v>
      </c>
      <c r="L27" s="30" t="s">
        <v>23</v>
      </c>
      <c r="M27" s="34">
        <v>2900</v>
      </c>
      <c r="N27" s="34">
        <v>49.1</v>
      </c>
      <c r="O27" s="318">
        <f>0.52*0.39*0.32</f>
        <v>6.4896000000000009E-2</v>
      </c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</row>
    <row r="28" spans="1:39" s="17" customFormat="1" ht="18" customHeight="1" thickBot="1" x14ac:dyDescent="0.3">
      <c r="A28" s="47"/>
      <c r="B28" s="29" t="s">
        <v>327</v>
      </c>
      <c r="C28" s="30">
        <v>7.5</v>
      </c>
      <c r="D28" s="31">
        <v>10</v>
      </c>
      <c r="E28" s="30">
        <v>42</v>
      </c>
      <c r="F28" s="31">
        <v>35</v>
      </c>
      <c r="G28" s="32" t="s">
        <v>26</v>
      </c>
      <c r="H28" s="193"/>
      <c r="I28" s="236"/>
      <c r="J28" s="230" t="s">
        <v>1188</v>
      </c>
      <c r="K28" s="79">
        <v>1124</v>
      </c>
      <c r="L28" s="30" t="s">
        <v>23</v>
      </c>
      <c r="M28" s="34">
        <v>2900</v>
      </c>
      <c r="N28" s="34">
        <v>55.5</v>
      </c>
      <c r="O28" s="318">
        <f>0.52*0.39*0.32</f>
        <v>6.4896000000000009E-2</v>
      </c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</row>
    <row r="29" spans="1:39" s="17" customFormat="1" ht="18" customHeight="1" thickBot="1" x14ac:dyDescent="0.3">
      <c r="A29" s="47"/>
      <c r="B29" s="29" t="s">
        <v>328</v>
      </c>
      <c r="C29" s="30">
        <v>9.1999999999999993</v>
      </c>
      <c r="D29" s="31">
        <v>12.5</v>
      </c>
      <c r="E29" s="30">
        <v>42</v>
      </c>
      <c r="F29" s="31">
        <v>47.5</v>
      </c>
      <c r="G29" s="32" t="s">
        <v>26</v>
      </c>
      <c r="H29" s="193"/>
      <c r="I29" s="236"/>
      <c r="J29" s="230" t="s">
        <v>1189</v>
      </c>
      <c r="K29" s="79">
        <v>1489.566574944</v>
      </c>
      <c r="L29" s="30" t="s">
        <v>23</v>
      </c>
      <c r="M29" s="34">
        <v>2900</v>
      </c>
      <c r="N29" s="34">
        <v>61.7</v>
      </c>
      <c r="O29" s="318">
        <f>0.61*0.45*0.32</f>
        <v>8.7840000000000015E-2</v>
      </c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</row>
    <row r="30" spans="1:39" s="17" customFormat="1" ht="18" customHeight="1" thickBot="1" x14ac:dyDescent="0.3">
      <c r="A30" s="47"/>
      <c r="B30" s="29" t="s">
        <v>329</v>
      </c>
      <c r="C30" s="30">
        <v>11</v>
      </c>
      <c r="D30" s="31">
        <v>15</v>
      </c>
      <c r="E30" s="30">
        <v>50</v>
      </c>
      <c r="F30" s="31">
        <v>51.5</v>
      </c>
      <c r="G30" s="32" t="s">
        <v>26</v>
      </c>
      <c r="H30" s="193"/>
      <c r="I30" s="236"/>
      <c r="J30" s="230" t="s">
        <v>1190</v>
      </c>
      <c r="K30" s="79">
        <v>1543.8119880959998</v>
      </c>
      <c r="L30" s="30" t="s">
        <v>23</v>
      </c>
      <c r="M30" s="34">
        <v>2900</v>
      </c>
      <c r="N30" s="34">
        <v>67.5</v>
      </c>
      <c r="O30" s="318">
        <f>0.61*0.45*0.32</f>
        <v>8.7840000000000015E-2</v>
      </c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</row>
    <row r="31" spans="1:39" s="17" customFormat="1" ht="18" customHeight="1" thickBot="1" x14ac:dyDescent="0.3">
      <c r="A31" s="47"/>
      <c r="B31" s="29" t="s">
        <v>330</v>
      </c>
      <c r="C31" s="30">
        <v>15</v>
      </c>
      <c r="D31" s="31">
        <v>20</v>
      </c>
      <c r="E31" s="30">
        <v>50</v>
      </c>
      <c r="F31" s="31">
        <v>65</v>
      </c>
      <c r="G31" s="32" t="s">
        <v>26</v>
      </c>
      <c r="H31" s="193"/>
      <c r="I31" s="236"/>
      <c r="J31" s="230" t="s">
        <v>1191</v>
      </c>
      <c r="K31" s="79">
        <v>1932.8825376</v>
      </c>
      <c r="L31" s="30" t="s">
        <v>23</v>
      </c>
      <c r="M31" s="34">
        <v>2900</v>
      </c>
      <c r="N31" s="34">
        <v>96</v>
      </c>
      <c r="O31" s="318">
        <f>0.74*0.47*0.32</f>
        <v>0.11129600000000001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</row>
    <row r="32" spans="1:39" s="17" customFormat="1" ht="18" customHeight="1" thickBot="1" x14ac:dyDescent="0.3">
      <c r="A32" s="47"/>
      <c r="B32" s="29" t="s">
        <v>331</v>
      </c>
      <c r="C32" s="30">
        <v>4</v>
      </c>
      <c r="D32" s="31">
        <v>5.5</v>
      </c>
      <c r="E32" s="30">
        <v>54</v>
      </c>
      <c r="F32" s="31">
        <v>17.3</v>
      </c>
      <c r="G32" s="32" t="s">
        <v>27</v>
      </c>
      <c r="H32" s="193"/>
      <c r="I32" s="236"/>
      <c r="J32" s="230" t="s">
        <v>1192</v>
      </c>
      <c r="K32" s="79">
        <v>923</v>
      </c>
      <c r="L32" s="30" t="s">
        <v>23</v>
      </c>
      <c r="M32" s="34">
        <v>2900</v>
      </c>
      <c r="N32" s="34">
        <v>40</v>
      </c>
      <c r="O32" s="318">
        <f>0.45*0.39*0.32</f>
        <v>5.6160000000000009E-2</v>
      </c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</row>
    <row r="33" spans="1:39" s="17" customFormat="1" ht="18" customHeight="1" thickBot="1" x14ac:dyDescent="0.3">
      <c r="A33" s="47"/>
      <c r="B33" s="29" t="s">
        <v>332</v>
      </c>
      <c r="C33" s="30">
        <v>5.5</v>
      </c>
      <c r="D33" s="31">
        <v>7.5</v>
      </c>
      <c r="E33" s="30">
        <v>72</v>
      </c>
      <c r="F33" s="31">
        <v>18.5</v>
      </c>
      <c r="G33" s="32" t="s">
        <v>27</v>
      </c>
      <c r="H33" s="193"/>
      <c r="I33" s="236"/>
      <c r="J33" s="230" t="s">
        <v>1193</v>
      </c>
      <c r="K33" s="79">
        <v>1032.5333813759999</v>
      </c>
      <c r="L33" s="30" t="s">
        <v>23</v>
      </c>
      <c r="M33" s="34">
        <v>2900</v>
      </c>
      <c r="N33" s="34">
        <v>52</v>
      </c>
      <c r="O33" s="319">
        <f>0.52*0.39*0.32</f>
        <v>6.4896000000000009E-2</v>
      </c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</row>
    <row r="34" spans="1:39" s="17" customFormat="1" ht="18" customHeight="1" thickBot="1" x14ac:dyDescent="0.3">
      <c r="A34" s="47"/>
      <c r="B34" s="29" t="s">
        <v>333</v>
      </c>
      <c r="C34" s="30">
        <v>7.5</v>
      </c>
      <c r="D34" s="31">
        <v>10</v>
      </c>
      <c r="E34" s="30">
        <v>72</v>
      </c>
      <c r="F34" s="31">
        <v>24</v>
      </c>
      <c r="G34" s="32" t="s">
        <v>27</v>
      </c>
      <c r="H34" s="193"/>
      <c r="I34" s="236"/>
      <c r="J34" s="230" t="s">
        <v>1194</v>
      </c>
      <c r="K34" s="79">
        <v>1134.7891027199998</v>
      </c>
      <c r="L34" s="30" t="s">
        <v>23</v>
      </c>
      <c r="M34" s="34">
        <v>2900</v>
      </c>
      <c r="N34" s="34">
        <v>58.5</v>
      </c>
      <c r="O34" s="319">
        <f>0.52*0.39*0.32</f>
        <v>6.4896000000000009E-2</v>
      </c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</row>
    <row r="35" spans="1:39" s="17" customFormat="1" ht="18" customHeight="1" thickBot="1" x14ac:dyDescent="0.3">
      <c r="A35" s="47"/>
      <c r="B35" s="29" t="s">
        <v>334</v>
      </c>
      <c r="C35" s="30">
        <v>9.1999999999999993</v>
      </c>
      <c r="D35" s="31">
        <v>12.5</v>
      </c>
      <c r="E35" s="30">
        <v>114</v>
      </c>
      <c r="F35" s="31">
        <v>21.1</v>
      </c>
      <c r="G35" s="32" t="s">
        <v>27</v>
      </c>
      <c r="H35" s="193"/>
      <c r="I35" s="236"/>
      <c r="J35" s="230" t="s">
        <v>1195</v>
      </c>
      <c r="K35" s="79">
        <v>1504.2190716</v>
      </c>
      <c r="L35" s="30" t="s">
        <v>23</v>
      </c>
      <c r="M35" s="34">
        <v>2900</v>
      </c>
      <c r="N35" s="34">
        <v>67</v>
      </c>
      <c r="O35" s="319">
        <f>0.61*0.45*0.32</f>
        <v>8.7840000000000015E-2</v>
      </c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</row>
    <row r="36" spans="1:39" s="17" customFormat="1" ht="18" customHeight="1" thickBot="1" x14ac:dyDescent="0.3">
      <c r="A36" s="47"/>
      <c r="B36" s="29" t="s">
        <v>335</v>
      </c>
      <c r="C36" s="30">
        <v>11</v>
      </c>
      <c r="D36" s="31">
        <v>15</v>
      </c>
      <c r="E36" s="30">
        <v>114</v>
      </c>
      <c r="F36" s="31">
        <v>25.8</v>
      </c>
      <c r="G36" s="32" t="s">
        <v>27</v>
      </c>
      <c r="H36" s="193"/>
      <c r="I36" s="236"/>
      <c r="J36" s="230" t="s">
        <v>1196</v>
      </c>
      <c r="K36" s="79">
        <v>1560</v>
      </c>
      <c r="L36" s="30" t="s">
        <v>23</v>
      </c>
      <c r="M36" s="34">
        <v>2900</v>
      </c>
      <c r="N36" s="34">
        <v>75.599999999999994</v>
      </c>
      <c r="O36" s="319">
        <f>0.61*0.45*0.32</f>
        <v>8.7840000000000015E-2</v>
      </c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</row>
    <row r="37" spans="1:39" s="17" customFormat="1" ht="18" customHeight="1" thickBot="1" x14ac:dyDescent="0.3">
      <c r="A37" s="47"/>
      <c r="B37" s="29" t="s">
        <v>336</v>
      </c>
      <c r="C37" s="30">
        <v>15</v>
      </c>
      <c r="D37" s="31">
        <v>20</v>
      </c>
      <c r="E37" s="30">
        <v>114</v>
      </c>
      <c r="F37" s="31">
        <v>32.6</v>
      </c>
      <c r="G37" s="32" t="s">
        <v>27</v>
      </c>
      <c r="H37" s="193"/>
      <c r="I37" s="236"/>
      <c r="J37" s="230" t="s">
        <v>1197</v>
      </c>
      <c r="K37" s="158">
        <v>1953</v>
      </c>
      <c r="L37" s="30" t="s">
        <v>23</v>
      </c>
      <c r="M37" s="34">
        <v>2900</v>
      </c>
      <c r="N37" s="34">
        <v>93</v>
      </c>
      <c r="O37" s="319">
        <f>0.74*0.47*0.32</f>
        <v>0.11129600000000001</v>
      </c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</row>
    <row r="38" spans="1:39" s="17" customFormat="1" ht="18" customHeight="1" thickBot="1" x14ac:dyDescent="0.3">
      <c r="A38" s="47"/>
      <c r="B38" s="29" t="s">
        <v>337</v>
      </c>
      <c r="C38" s="30">
        <v>15</v>
      </c>
      <c r="D38" s="31">
        <v>20</v>
      </c>
      <c r="E38" s="30">
        <v>114</v>
      </c>
      <c r="F38" s="31">
        <v>35.299999999999997</v>
      </c>
      <c r="G38" s="32" t="s">
        <v>27</v>
      </c>
      <c r="H38" s="193"/>
      <c r="I38" s="236"/>
      <c r="J38" s="230" t="s">
        <v>1198</v>
      </c>
      <c r="K38" s="158">
        <v>1971.5401883519999</v>
      </c>
      <c r="L38" s="30" t="s">
        <v>23</v>
      </c>
      <c r="M38" s="34">
        <v>2900</v>
      </c>
      <c r="N38" s="34">
        <v>114</v>
      </c>
      <c r="O38" s="319">
        <f>0.75*0.52*0.37</f>
        <v>0.14430000000000001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</row>
    <row r="39" spans="1:39" s="17" customFormat="1" ht="18" customHeight="1" thickBot="1" x14ac:dyDescent="0.3">
      <c r="A39" s="47"/>
      <c r="B39" s="29" t="s">
        <v>338</v>
      </c>
      <c r="C39" s="30">
        <v>18.5</v>
      </c>
      <c r="D39" s="31">
        <v>25</v>
      </c>
      <c r="E39" s="30">
        <v>114</v>
      </c>
      <c r="F39" s="31">
        <v>43</v>
      </c>
      <c r="G39" s="32" t="s">
        <v>27</v>
      </c>
      <c r="H39" s="193"/>
      <c r="I39" s="236"/>
      <c r="J39" s="230" t="s">
        <v>1199</v>
      </c>
      <c r="K39" s="158">
        <v>2120</v>
      </c>
      <c r="L39" s="30" t="s">
        <v>23</v>
      </c>
      <c r="M39" s="34">
        <v>2900</v>
      </c>
      <c r="N39" s="34">
        <v>127</v>
      </c>
      <c r="O39" s="319">
        <f>0.75*0.52*0.37</f>
        <v>0.14430000000000001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</row>
    <row r="40" spans="1:39" s="17" customFormat="1" ht="18" customHeight="1" thickBot="1" x14ac:dyDescent="0.3">
      <c r="A40" s="47"/>
      <c r="B40" s="29" t="s">
        <v>339</v>
      </c>
      <c r="C40" s="30">
        <v>22</v>
      </c>
      <c r="D40" s="31">
        <v>30</v>
      </c>
      <c r="E40" s="30">
        <v>126</v>
      </c>
      <c r="F40" s="31">
        <v>48</v>
      </c>
      <c r="G40" s="32" t="s">
        <v>27</v>
      </c>
      <c r="H40" s="193"/>
      <c r="I40" s="236"/>
      <c r="J40" s="230" t="s">
        <v>1200</v>
      </c>
      <c r="K40" s="158">
        <v>2240</v>
      </c>
      <c r="L40" s="30" t="s">
        <v>23</v>
      </c>
      <c r="M40" s="34">
        <v>2900</v>
      </c>
      <c r="N40" s="34">
        <v>136</v>
      </c>
      <c r="O40" s="319">
        <f>0.75*0.52*0.37</f>
        <v>0.14430000000000001</v>
      </c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</row>
    <row r="41" spans="1:39" s="17" customFormat="1" ht="18" customHeight="1" thickBot="1" x14ac:dyDescent="0.3">
      <c r="A41" s="47"/>
      <c r="B41" s="29" t="s">
        <v>340</v>
      </c>
      <c r="C41" s="30">
        <v>11</v>
      </c>
      <c r="D41" s="31">
        <v>15</v>
      </c>
      <c r="E41" s="30">
        <v>132</v>
      </c>
      <c r="F41" s="31">
        <v>22.4</v>
      </c>
      <c r="G41" s="32" t="s">
        <v>29</v>
      </c>
      <c r="H41" s="193"/>
      <c r="I41" s="236"/>
      <c r="J41" s="230" t="s">
        <v>1201</v>
      </c>
      <c r="K41" s="158">
        <v>1574.6757576479997</v>
      </c>
      <c r="L41" s="30" t="s">
        <v>23</v>
      </c>
      <c r="M41" s="34">
        <v>2900</v>
      </c>
      <c r="N41" s="34">
        <v>85</v>
      </c>
      <c r="O41" s="319">
        <f>0.72*0.52*0.37</f>
        <v>0.13852800000000001</v>
      </c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</row>
    <row r="42" spans="1:39" s="17" customFormat="1" ht="18" customHeight="1" thickBot="1" x14ac:dyDescent="0.3">
      <c r="A42" s="47"/>
      <c r="B42" s="29" t="s">
        <v>341</v>
      </c>
      <c r="C42" s="30">
        <v>15</v>
      </c>
      <c r="D42" s="31">
        <v>20</v>
      </c>
      <c r="E42" s="30">
        <v>138</v>
      </c>
      <c r="F42" s="31">
        <v>29.4</v>
      </c>
      <c r="G42" s="32" t="s">
        <v>29</v>
      </c>
      <c r="H42" s="193"/>
      <c r="I42" s="236"/>
      <c r="J42" s="230" t="s">
        <v>1202</v>
      </c>
      <c r="K42" s="158">
        <v>1971.5401883519999</v>
      </c>
      <c r="L42" s="30" t="s">
        <v>23</v>
      </c>
      <c r="M42" s="34">
        <v>2900</v>
      </c>
      <c r="N42" s="34">
        <v>119</v>
      </c>
      <c r="O42" s="319">
        <f>0.85*0.52*0.37</f>
        <v>0.16353999999999999</v>
      </c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</row>
    <row r="43" spans="1:39" s="17" customFormat="1" ht="18" customHeight="1" thickBot="1" x14ac:dyDescent="0.3">
      <c r="A43" s="47"/>
      <c r="B43" s="29" t="s">
        <v>342</v>
      </c>
      <c r="C43" s="30">
        <v>18.5</v>
      </c>
      <c r="D43" s="31">
        <v>25</v>
      </c>
      <c r="E43" s="30">
        <v>150</v>
      </c>
      <c r="F43" s="31">
        <v>33.5</v>
      </c>
      <c r="G43" s="32" t="s">
        <v>29</v>
      </c>
      <c r="H43" s="193"/>
      <c r="I43" s="236"/>
      <c r="J43" s="230" t="s">
        <v>1203</v>
      </c>
      <c r="K43" s="158">
        <v>2140</v>
      </c>
      <c r="L43" s="30" t="s">
        <v>23</v>
      </c>
      <c r="M43" s="34">
        <v>2900</v>
      </c>
      <c r="N43" s="34">
        <v>135</v>
      </c>
      <c r="O43" s="319">
        <f>0.85*0.52*0.37</f>
        <v>0.16353999999999999</v>
      </c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</row>
    <row r="44" spans="1:39" s="17" customFormat="1" ht="18" customHeight="1" thickBot="1" x14ac:dyDescent="0.3">
      <c r="A44" s="47"/>
      <c r="B44" s="29" t="s">
        <v>343</v>
      </c>
      <c r="C44" s="30">
        <v>22</v>
      </c>
      <c r="D44" s="31">
        <v>30</v>
      </c>
      <c r="E44" s="30">
        <v>138</v>
      </c>
      <c r="F44" s="31">
        <v>41</v>
      </c>
      <c r="G44" s="32" t="s">
        <v>29</v>
      </c>
      <c r="H44" s="193"/>
      <c r="I44" s="236"/>
      <c r="J44" s="230" t="s">
        <v>1204</v>
      </c>
      <c r="K44" s="158">
        <v>2830</v>
      </c>
      <c r="L44" s="30" t="s">
        <v>23</v>
      </c>
      <c r="M44" s="34">
        <v>2900</v>
      </c>
      <c r="N44" s="34">
        <v>185</v>
      </c>
      <c r="O44" s="319">
        <f>0.94*0.56*0.42</f>
        <v>0.22108799999999998</v>
      </c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</row>
    <row r="45" spans="1:39" s="17" customFormat="1" ht="18" customHeight="1" thickBot="1" x14ac:dyDescent="0.3">
      <c r="A45" s="47"/>
      <c r="B45" s="39" t="s">
        <v>344</v>
      </c>
      <c r="C45" s="30">
        <v>30</v>
      </c>
      <c r="D45" s="31">
        <v>40</v>
      </c>
      <c r="E45" s="30">
        <v>170</v>
      </c>
      <c r="F45" s="31">
        <v>48</v>
      </c>
      <c r="G45" s="32" t="s">
        <v>29</v>
      </c>
      <c r="H45" s="193"/>
      <c r="I45" s="236"/>
      <c r="J45" s="230"/>
      <c r="K45" s="225" t="s">
        <v>28</v>
      </c>
      <c r="L45" s="30" t="s">
        <v>23</v>
      </c>
      <c r="M45" s="34">
        <v>2900</v>
      </c>
      <c r="N45" s="34">
        <v>265</v>
      </c>
      <c r="O45" s="319">
        <f>1.01*0.56*0.42</f>
        <v>0.23755200000000004</v>
      </c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</row>
    <row r="46" spans="1:39" s="17" customFormat="1" ht="18" customHeight="1" thickBot="1" x14ac:dyDescent="0.3">
      <c r="A46" s="47"/>
      <c r="B46" s="39" t="s">
        <v>345</v>
      </c>
      <c r="C46" s="30">
        <v>37</v>
      </c>
      <c r="D46" s="31">
        <v>50</v>
      </c>
      <c r="E46" s="30">
        <v>180</v>
      </c>
      <c r="F46" s="31">
        <v>51</v>
      </c>
      <c r="G46" s="32" t="s">
        <v>29</v>
      </c>
      <c r="H46" s="193"/>
      <c r="I46" s="237"/>
      <c r="J46" s="231"/>
      <c r="K46" s="225" t="s">
        <v>28</v>
      </c>
      <c r="L46" s="30" t="s">
        <v>23</v>
      </c>
      <c r="M46" s="34">
        <v>2900</v>
      </c>
      <c r="N46" s="34">
        <v>285</v>
      </c>
      <c r="O46" s="319">
        <f>1.01*0.56*0.42</f>
        <v>0.23755200000000004</v>
      </c>
      <c r="P46" s="1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</row>
    <row r="47" spans="1:39" s="1" customFormat="1" ht="8.25" customHeight="1" thickBot="1" x14ac:dyDescent="0.3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1:39" s="1" customFormat="1" ht="15" customHeight="1" x14ac:dyDescent="0.25">
      <c r="B48" s="43" t="s">
        <v>32</v>
      </c>
      <c r="C48" s="44" t="s">
        <v>346</v>
      </c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</row>
    <row r="49" spans="2:15" s="1" customFormat="1" ht="15" customHeight="1" x14ac:dyDescent="0.25">
      <c r="B49" s="48" t="s">
        <v>308</v>
      </c>
      <c r="C49" s="49" t="s">
        <v>701</v>
      </c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2:15" s="217" customFormat="1" ht="15" customHeight="1" x14ac:dyDescent="0.25">
      <c r="B50" s="52" t="s">
        <v>702</v>
      </c>
      <c r="C50" s="50" t="s">
        <v>703</v>
      </c>
      <c r="D50" s="5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2:15" s="1" customFormat="1" ht="15" customHeight="1" x14ac:dyDescent="0.25">
      <c r="B51" s="181" t="s">
        <v>36</v>
      </c>
      <c r="C51" s="53" t="s">
        <v>1406</v>
      </c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2:15" s="217" customFormat="1" ht="15" customHeight="1" x14ac:dyDescent="0.25">
      <c r="B52" s="181" t="s">
        <v>704</v>
      </c>
      <c r="C52" s="300" t="s">
        <v>705</v>
      </c>
      <c r="D52" s="206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</row>
    <row r="53" spans="2:15" s="271" customFormat="1" x14ac:dyDescent="0.25"/>
    <row r="54" spans="2:15" s="271" customFormat="1" x14ac:dyDescent="0.25"/>
    <row r="55" spans="2:15" s="271" customFormat="1" x14ac:dyDescent="0.25"/>
    <row r="56" spans="2:15" s="271" customFormat="1" x14ac:dyDescent="0.25"/>
    <row r="57" spans="2:15" s="271" customFormat="1" x14ac:dyDescent="0.25"/>
    <row r="58" spans="2:15" s="271" customFormat="1" x14ac:dyDescent="0.25"/>
    <row r="59" spans="2:15" s="271" customFormat="1" x14ac:dyDescent="0.25"/>
    <row r="60" spans="2:15" s="271" customFormat="1" x14ac:dyDescent="0.25"/>
    <row r="61" spans="2:15" s="271" customFormat="1" x14ac:dyDescent="0.25"/>
    <row r="62" spans="2:15" s="271" customFormat="1" x14ac:dyDescent="0.25"/>
    <row r="63" spans="2:15" s="271" customFormat="1" x14ac:dyDescent="0.25"/>
    <row r="64" spans="2:15" s="271" customFormat="1" x14ac:dyDescent="0.25"/>
    <row r="65" s="271" customFormat="1" x14ac:dyDescent="0.25"/>
    <row r="66" s="271" customFormat="1" x14ac:dyDescent="0.25"/>
    <row r="67" s="271" customFormat="1" x14ac:dyDescent="0.25"/>
    <row r="68" s="271" customFormat="1" x14ac:dyDescent="0.25"/>
    <row r="69" s="271" customFormat="1" x14ac:dyDescent="0.25"/>
    <row r="70" s="271" customFormat="1" x14ac:dyDescent="0.25"/>
    <row r="71" s="271" customFormat="1" x14ac:dyDescent="0.25"/>
    <row r="72" s="271" customFormat="1" x14ac:dyDescent="0.25"/>
    <row r="73" s="271" customFormat="1" x14ac:dyDescent="0.25"/>
    <row r="74" s="271" customFormat="1" x14ac:dyDescent="0.25"/>
    <row r="75" s="271" customFormat="1" x14ac:dyDescent="0.25"/>
    <row r="76" s="271" customFormat="1" x14ac:dyDescent="0.25"/>
    <row r="77" s="271" customFormat="1" x14ac:dyDescent="0.25"/>
    <row r="78" s="271" customFormat="1" x14ac:dyDescent="0.25"/>
    <row r="79" s="271" customFormat="1" x14ac:dyDescent="0.25"/>
    <row r="80" s="271" customFormat="1" x14ac:dyDescent="0.25"/>
    <row r="81" s="271" customFormat="1" x14ac:dyDescent="0.25"/>
    <row r="82" s="271" customFormat="1" x14ac:dyDescent="0.25"/>
    <row r="83" s="271" customFormat="1" x14ac:dyDescent="0.25"/>
    <row r="84" s="271" customFormat="1" x14ac:dyDescent="0.25"/>
    <row r="85" s="271" customFormat="1" x14ac:dyDescent="0.25"/>
    <row r="86" s="271" customFormat="1" x14ac:dyDescent="0.25"/>
    <row r="87" s="271" customFormat="1" x14ac:dyDescent="0.25"/>
    <row r="88" s="271" customFormat="1" x14ac:dyDescent="0.25"/>
    <row r="89" s="271" customFormat="1" x14ac:dyDescent="0.25"/>
    <row r="90" s="271" customFormat="1" x14ac:dyDescent="0.25"/>
  </sheetData>
  <mergeCells count="9">
    <mergeCell ref="B6:O6"/>
    <mergeCell ref="B8:B10"/>
    <mergeCell ref="C8:D9"/>
    <mergeCell ref="E8:F8"/>
    <mergeCell ref="L8:L10"/>
    <mergeCell ref="M8:M9"/>
    <mergeCell ref="H8:K8"/>
    <mergeCell ref="J9:K9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zoomScaleNormal="100" workbookViewId="0">
      <selection activeCell="I29" sqref="I29"/>
    </sheetView>
  </sheetViews>
  <sheetFormatPr defaultRowHeight="15.75" x14ac:dyDescent="0.25"/>
  <cols>
    <col min="1" max="1" width="34.28515625" style="1" customWidth="1"/>
    <col min="2" max="2" width="28.5703125" style="64" customWidth="1"/>
    <col min="3" max="8" width="8.5703125" style="1" customWidth="1"/>
    <col min="9" max="9" width="10.85546875" style="1" customWidth="1"/>
    <col min="10" max="10" width="14.28515625" style="175" customWidth="1"/>
    <col min="11" max="11" width="10.85546875" style="1" customWidth="1"/>
    <col min="12" max="12" width="14.28515625" style="175" customWidth="1"/>
    <col min="13" max="17" width="10.85546875" style="1" customWidth="1"/>
    <col min="18" max="258" width="9.140625" style="123"/>
    <col min="259" max="259" width="34.28515625" style="123" customWidth="1"/>
    <col min="260" max="260" width="25.7109375" style="123" customWidth="1"/>
    <col min="261" max="266" width="8.5703125" style="123" customWidth="1"/>
    <col min="267" max="273" width="10.85546875" style="123" customWidth="1"/>
    <col min="274" max="514" width="9.140625" style="123"/>
    <col min="515" max="515" width="34.28515625" style="123" customWidth="1"/>
    <col min="516" max="516" width="25.7109375" style="123" customWidth="1"/>
    <col min="517" max="522" width="8.5703125" style="123" customWidth="1"/>
    <col min="523" max="529" width="10.85546875" style="123" customWidth="1"/>
    <col min="530" max="770" width="9.140625" style="123"/>
    <col min="771" max="771" width="34.28515625" style="123" customWidth="1"/>
    <col min="772" max="772" width="25.7109375" style="123" customWidth="1"/>
    <col min="773" max="778" width="8.5703125" style="123" customWidth="1"/>
    <col min="779" max="785" width="10.8554687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4" width="8.5703125" style="123" customWidth="1"/>
    <col min="1035" max="1041" width="10.8554687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90" width="8.5703125" style="123" customWidth="1"/>
    <col min="1291" max="1297" width="10.8554687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6" width="8.5703125" style="123" customWidth="1"/>
    <col min="1547" max="1553" width="10.8554687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802" width="8.5703125" style="123" customWidth="1"/>
    <col min="1803" max="1809" width="10.8554687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8" width="8.5703125" style="123" customWidth="1"/>
    <col min="2059" max="2065" width="10.8554687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4" width="8.5703125" style="123" customWidth="1"/>
    <col min="2315" max="2321" width="10.8554687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70" width="8.5703125" style="123" customWidth="1"/>
    <col min="2571" max="2577" width="10.8554687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6" width="8.5703125" style="123" customWidth="1"/>
    <col min="2827" max="2833" width="10.8554687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82" width="8.5703125" style="123" customWidth="1"/>
    <col min="3083" max="3089" width="10.8554687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8" width="8.5703125" style="123" customWidth="1"/>
    <col min="3339" max="3345" width="10.8554687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4" width="8.5703125" style="123" customWidth="1"/>
    <col min="3595" max="3601" width="10.8554687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50" width="8.5703125" style="123" customWidth="1"/>
    <col min="3851" max="3857" width="10.8554687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6" width="8.5703125" style="123" customWidth="1"/>
    <col min="4107" max="4113" width="10.8554687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62" width="8.5703125" style="123" customWidth="1"/>
    <col min="4363" max="4369" width="10.8554687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8" width="8.5703125" style="123" customWidth="1"/>
    <col min="4619" max="4625" width="10.8554687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4" width="8.5703125" style="123" customWidth="1"/>
    <col min="4875" max="4881" width="10.8554687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30" width="8.5703125" style="123" customWidth="1"/>
    <col min="5131" max="5137" width="10.8554687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6" width="8.5703125" style="123" customWidth="1"/>
    <col min="5387" max="5393" width="10.8554687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42" width="8.5703125" style="123" customWidth="1"/>
    <col min="5643" max="5649" width="10.8554687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8" width="8.5703125" style="123" customWidth="1"/>
    <col min="5899" max="5905" width="10.8554687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4" width="8.5703125" style="123" customWidth="1"/>
    <col min="6155" max="6161" width="10.8554687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10" width="8.5703125" style="123" customWidth="1"/>
    <col min="6411" max="6417" width="10.8554687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6" width="8.5703125" style="123" customWidth="1"/>
    <col min="6667" max="6673" width="10.8554687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22" width="8.5703125" style="123" customWidth="1"/>
    <col min="6923" max="6929" width="10.8554687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8" width="8.5703125" style="123" customWidth="1"/>
    <col min="7179" max="7185" width="10.8554687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4" width="8.5703125" style="123" customWidth="1"/>
    <col min="7435" max="7441" width="10.8554687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90" width="8.5703125" style="123" customWidth="1"/>
    <col min="7691" max="7697" width="10.8554687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6" width="8.5703125" style="123" customWidth="1"/>
    <col min="7947" max="7953" width="10.8554687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202" width="8.5703125" style="123" customWidth="1"/>
    <col min="8203" max="8209" width="10.8554687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8" width="8.5703125" style="123" customWidth="1"/>
    <col min="8459" max="8465" width="10.8554687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4" width="8.5703125" style="123" customWidth="1"/>
    <col min="8715" max="8721" width="10.8554687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70" width="8.5703125" style="123" customWidth="1"/>
    <col min="8971" max="8977" width="10.8554687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6" width="8.5703125" style="123" customWidth="1"/>
    <col min="9227" max="9233" width="10.8554687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82" width="8.5703125" style="123" customWidth="1"/>
    <col min="9483" max="9489" width="10.8554687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8" width="8.5703125" style="123" customWidth="1"/>
    <col min="9739" max="9745" width="10.8554687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4" width="8.5703125" style="123" customWidth="1"/>
    <col min="9995" max="10001" width="10.8554687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50" width="8.5703125" style="123" customWidth="1"/>
    <col min="10251" max="10257" width="10.8554687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6" width="8.5703125" style="123" customWidth="1"/>
    <col min="10507" max="10513" width="10.8554687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62" width="8.5703125" style="123" customWidth="1"/>
    <col min="10763" max="10769" width="10.8554687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8" width="8.5703125" style="123" customWidth="1"/>
    <col min="11019" max="11025" width="10.8554687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4" width="8.5703125" style="123" customWidth="1"/>
    <col min="11275" max="11281" width="10.8554687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30" width="8.5703125" style="123" customWidth="1"/>
    <col min="11531" max="11537" width="10.8554687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6" width="8.5703125" style="123" customWidth="1"/>
    <col min="11787" max="11793" width="10.8554687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42" width="8.5703125" style="123" customWidth="1"/>
    <col min="12043" max="12049" width="10.8554687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8" width="8.5703125" style="123" customWidth="1"/>
    <col min="12299" max="12305" width="10.8554687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4" width="8.5703125" style="123" customWidth="1"/>
    <col min="12555" max="12561" width="10.8554687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10" width="8.5703125" style="123" customWidth="1"/>
    <col min="12811" max="12817" width="10.8554687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6" width="8.5703125" style="123" customWidth="1"/>
    <col min="13067" max="13073" width="10.8554687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22" width="8.5703125" style="123" customWidth="1"/>
    <col min="13323" max="13329" width="10.8554687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8" width="8.5703125" style="123" customWidth="1"/>
    <col min="13579" max="13585" width="10.8554687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4" width="8.5703125" style="123" customWidth="1"/>
    <col min="13835" max="13841" width="10.8554687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90" width="8.5703125" style="123" customWidth="1"/>
    <col min="14091" max="14097" width="10.8554687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6" width="8.5703125" style="123" customWidth="1"/>
    <col min="14347" max="14353" width="10.8554687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602" width="8.5703125" style="123" customWidth="1"/>
    <col min="14603" max="14609" width="10.8554687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8" width="8.5703125" style="123" customWidth="1"/>
    <col min="14859" max="14865" width="10.8554687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4" width="8.5703125" style="123" customWidth="1"/>
    <col min="15115" max="15121" width="10.8554687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70" width="8.5703125" style="123" customWidth="1"/>
    <col min="15371" max="15377" width="10.8554687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6" width="8.5703125" style="123" customWidth="1"/>
    <col min="15627" max="15633" width="10.8554687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82" width="8.5703125" style="123" customWidth="1"/>
    <col min="15883" max="15889" width="10.8554687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8" width="8.5703125" style="123" customWidth="1"/>
    <col min="16139" max="16145" width="10.85546875" style="123" customWidth="1"/>
    <col min="16146" max="16384" width="9.140625" style="123"/>
  </cols>
  <sheetData>
    <row r="1" spans="1:39" s="217" customFormat="1" x14ac:dyDescent="0.25"/>
    <row r="2" spans="1:39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9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39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39" s="8" customFormat="1" ht="18" customHeight="1" thickBot="1" x14ac:dyDescent="0.3">
      <c r="B5" s="9"/>
      <c r="L5" s="10"/>
      <c r="M5" s="10"/>
      <c r="N5" s="10"/>
      <c r="O5" s="11"/>
      <c r="P5" s="11"/>
    </row>
    <row r="6" spans="1:39" s="13" customFormat="1" ht="32.1" customHeight="1" thickBot="1" x14ac:dyDescent="0.3">
      <c r="A6" s="216"/>
      <c r="B6" s="222" t="s">
        <v>1305</v>
      </c>
      <c r="C6" s="222"/>
      <c r="D6" s="222"/>
      <c r="E6" s="222"/>
      <c r="F6" s="222"/>
      <c r="G6" s="222"/>
      <c r="H6" s="220"/>
      <c r="I6" s="220"/>
      <c r="J6" s="220"/>
      <c r="K6" s="220"/>
      <c r="L6" s="220"/>
      <c r="M6" s="119"/>
      <c r="N6" s="119"/>
      <c r="O6" s="119"/>
      <c r="P6" s="220"/>
      <c r="Q6" s="220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39" s="17" customFormat="1" ht="18" customHeight="1" x14ac:dyDescent="0.25">
      <c r="A8" s="59"/>
      <c r="B8" s="341" t="s">
        <v>1</v>
      </c>
      <c r="C8" s="337" t="s">
        <v>2</v>
      </c>
      <c r="D8" s="338"/>
      <c r="E8" s="337" t="s">
        <v>3</v>
      </c>
      <c r="F8" s="338"/>
      <c r="G8" s="337" t="s">
        <v>3</v>
      </c>
      <c r="H8" s="338"/>
      <c r="I8" s="219" t="s">
        <v>4</v>
      </c>
      <c r="J8" s="330" t="s">
        <v>5</v>
      </c>
      <c r="K8" s="331"/>
      <c r="L8" s="331"/>
      <c r="M8" s="332"/>
      <c r="N8" s="325" t="s">
        <v>6</v>
      </c>
      <c r="O8" s="328" t="s">
        <v>7</v>
      </c>
      <c r="P8" s="312" t="s">
        <v>8</v>
      </c>
      <c r="Q8" s="282" t="s">
        <v>9</v>
      </c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216" t="s">
        <v>357</v>
      </c>
      <c r="B9" s="342"/>
      <c r="C9" s="339"/>
      <c r="D9" s="340"/>
      <c r="E9" s="369" t="s">
        <v>354</v>
      </c>
      <c r="F9" s="370"/>
      <c r="G9" s="369" t="s">
        <v>355</v>
      </c>
      <c r="H9" s="370"/>
      <c r="I9" s="116"/>
      <c r="J9" s="333" t="s">
        <v>1352</v>
      </c>
      <c r="K9" s="349"/>
      <c r="L9" s="344" t="s">
        <v>43</v>
      </c>
      <c r="M9" s="349"/>
      <c r="N9" s="326"/>
      <c r="O9" s="329"/>
      <c r="P9" s="313"/>
      <c r="Q9" s="283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68"/>
      <c r="C10" s="23" t="s">
        <v>12</v>
      </c>
      <c r="D10" s="24" t="s">
        <v>13</v>
      </c>
      <c r="E10" s="23" t="s">
        <v>435</v>
      </c>
      <c r="F10" s="24" t="s">
        <v>436</v>
      </c>
      <c r="G10" s="23" t="s">
        <v>435</v>
      </c>
      <c r="H10" s="24" t="s">
        <v>436</v>
      </c>
      <c r="I10" s="25" t="s">
        <v>16</v>
      </c>
      <c r="J10" s="191" t="s">
        <v>717</v>
      </c>
      <c r="K10" s="187" t="s">
        <v>17</v>
      </c>
      <c r="L10" s="202" t="s">
        <v>717</v>
      </c>
      <c r="M10" s="187" t="s">
        <v>18</v>
      </c>
      <c r="N10" s="327"/>
      <c r="O10" s="26" t="s">
        <v>19</v>
      </c>
      <c r="P10" s="314" t="s">
        <v>20</v>
      </c>
      <c r="Q10" s="27" t="s">
        <v>21</v>
      </c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ht="18" customHeight="1" thickBot="1" x14ac:dyDescent="0.3">
      <c r="A11" s="47"/>
      <c r="B11" s="84" t="s">
        <v>1205</v>
      </c>
      <c r="C11" s="76">
        <v>1.5</v>
      </c>
      <c r="D11" s="77">
        <v>2</v>
      </c>
      <c r="E11" s="76">
        <v>15</v>
      </c>
      <c r="F11" s="77">
        <v>30</v>
      </c>
      <c r="G11" s="76">
        <v>8</v>
      </c>
      <c r="H11" s="77">
        <v>23</v>
      </c>
      <c r="I11" s="92" t="s">
        <v>52</v>
      </c>
      <c r="J11" s="192"/>
      <c r="K11" s="234">
        <v>423.58630910399995</v>
      </c>
      <c r="L11" s="232"/>
      <c r="M11" s="122">
        <v>397.62155059199995</v>
      </c>
      <c r="N11" s="228" t="s">
        <v>23</v>
      </c>
      <c r="O11" s="81">
        <v>2900</v>
      </c>
      <c r="P11" s="81">
        <v>38</v>
      </c>
      <c r="Q11" s="80">
        <v>4.9000000000000002E-2</v>
      </c>
    </row>
    <row r="12" spans="1:39" ht="18" customHeight="1" thickBot="1" x14ac:dyDescent="0.3">
      <c r="A12" s="47"/>
      <c r="B12" s="84" t="s">
        <v>1206</v>
      </c>
      <c r="C12" s="76">
        <v>1.5</v>
      </c>
      <c r="D12" s="77">
        <v>2</v>
      </c>
      <c r="E12" s="76">
        <v>18</v>
      </c>
      <c r="F12" s="77">
        <v>28</v>
      </c>
      <c r="G12" s="76">
        <v>10</v>
      </c>
      <c r="H12" s="77">
        <v>20</v>
      </c>
      <c r="I12" s="92" t="s">
        <v>44</v>
      </c>
      <c r="J12" s="192"/>
      <c r="K12" s="234">
        <v>434.49774278400002</v>
      </c>
      <c r="L12" s="232"/>
      <c r="M12" s="122">
        <v>407.864937312</v>
      </c>
      <c r="N12" s="228" t="s">
        <v>23</v>
      </c>
      <c r="O12" s="81">
        <v>2900</v>
      </c>
      <c r="P12" s="81">
        <v>38</v>
      </c>
      <c r="Q12" s="81">
        <v>4.9000000000000002E-2</v>
      </c>
    </row>
    <row r="13" spans="1:39" ht="18" customHeight="1" thickBot="1" x14ac:dyDescent="0.3">
      <c r="A13" s="47"/>
      <c r="B13" s="84" t="s">
        <v>1207</v>
      </c>
      <c r="C13" s="76">
        <v>2.2000000000000002</v>
      </c>
      <c r="D13" s="77">
        <v>3</v>
      </c>
      <c r="E13" s="76">
        <v>18</v>
      </c>
      <c r="F13" s="77">
        <v>35</v>
      </c>
      <c r="G13" s="76">
        <v>10</v>
      </c>
      <c r="H13" s="77">
        <v>25</v>
      </c>
      <c r="I13" s="92" t="s">
        <v>52</v>
      </c>
      <c r="J13" s="192"/>
      <c r="K13" s="234">
        <v>471.68569022399993</v>
      </c>
      <c r="L13" s="232"/>
      <c r="M13" s="122">
        <v>439.61943614399996</v>
      </c>
      <c r="N13" s="228" t="s">
        <v>23</v>
      </c>
      <c r="O13" s="81">
        <v>2900</v>
      </c>
      <c r="P13" s="81">
        <v>40</v>
      </c>
      <c r="Q13" s="81">
        <v>4.9000000000000002E-2</v>
      </c>
    </row>
    <row r="14" spans="1:39" ht="18" customHeight="1" thickBot="1" x14ac:dyDescent="0.3">
      <c r="A14" s="335"/>
      <c r="B14" s="84" t="s">
        <v>1208</v>
      </c>
      <c r="C14" s="76">
        <v>2.2000000000000002</v>
      </c>
      <c r="D14" s="77">
        <v>3</v>
      </c>
      <c r="E14" s="76">
        <v>20</v>
      </c>
      <c r="F14" s="77">
        <v>32</v>
      </c>
      <c r="G14" s="76">
        <v>12</v>
      </c>
      <c r="H14" s="77">
        <v>22</v>
      </c>
      <c r="I14" s="92" t="s">
        <v>44</v>
      </c>
      <c r="J14" s="192"/>
      <c r="K14" s="234">
        <v>481.97361340799995</v>
      </c>
      <c r="L14" s="232"/>
      <c r="M14" s="122">
        <v>450.53086982399992</v>
      </c>
      <c r="N14" s="228" t="s">
        <v>23</v>
      </c>
      <c r="O14" s="81">
        <v>2900</v>
      </c>
      <c r="P14" s="81">
        <v>40</v>
      </c>
      <c r="Q14" s="81">
        <v>4.9000000000000002E-2</v>
      </c>
    </row>
    <row r="15" spans="1:39" ht="18" customHeight="1" thickBot="1" x14ac:dyDescent="0.3">
      <c r="A15" s="336"/>
      <c r="B15" s="105" t="s">
        <v>1209</v>
      </c>
      <c r="C15" s="76">
        <v>3</v>
      </c>
      <c r="D15" s="77">
        <v>4</v>
      </c>
      <c r="E15" s="76">
        <v>22</v>
      </c>
      <c r="F15" s="77">
        <v>40</v>
      </c>
      <c r="G15" s="76">
        <v>12</v>
      </c>
      <c r="H15" s="77">
        <v>28</v>
      </c>
      <c r="I15" s="92" t="s">
        <v>44</v>
      </c>
      <c r="J15" s="192"/>
      <c r="K15" s="234">
        <v>868.68373031999988</v>
      </c>
      <c r="L15" s="232"/>
      <c r="M15" s="122">
        <v>815.77441108799997</v>
      </c>
      <c r="N15" s="228" t="s">
        <v>23</v>
      </c>
      <c r="O15" s="81">
        <v>2900</v>
      </c>
      <c r="P15" s="81">
        <v>50</v>
      </c>
      <c r="Q15" s="81">
        <v>7.6999999999999999E-2</v>
      </c>
    </row>
    <row r="16" spans="1:39" ht="18" customHeight="1" thickBot="1" x14ac:dyDescent="0.3">
      <c r="A16" s="47"/>
      <c r="B16" s="105" t="s">
        <v>359</v>
      </c>
      <c r="C16" s="76">
        <v>4</v>
      </c>
      <c r="D16" s="77">
        <v>5.5</v>
      </c>
      <c r="E16" s="76">
        <v>25</v>
      </c>
      <c r="F16" s="77">
        <v>45</v>
      </c>
      <c r="G16" s="76">
        <v>15</v>
      </c>
      <c r="H16" s="77">
        <v>30</v>
      </c>
      <c r="I16" s="92" t="s">
        <v>44</v>
      </c>
      <c r="J16" s="193"/>
      <c r="K16" s="238"/>
      <c r="L16" s="232"/>
      <c r="M16" s="122">
        <v>905.87167776000001</v>
      </c>
      <c r="N16" s="228" t="s">
        <v>23</v>
      </c>
      <c r="O16" s="81">
        <v>2900</v>
      </c>
      <c r="P16" s="81">
        <v>53</v>
      </c>
      <c r="Q16" s="81">
        <v>7.6999999999999999E-2</v>
      </c>
    </row>
    <row r="17" spans="1:18" ht="18" customHeight="1" thickBot="1" x14ac:dyDescent="0.3">
      <c r="A17" s="47"/>
      <c r="B17" s="38" t="s">
        <v>1210</v>
      </c>
      <c r="C17" s="76">
        <v>1.5</v>
      </c>
      <c r="D17" s="77">
        <v>2</v>
      </c>
      <c r="E17" s="76">
        <v>15</v>
      </c>
      <c r="F17" s="77">
        <v>25</v>
      </c>
      <c r="G17" s="76">
        <v>10</v>
      </c>
      <c r="H17" s="77">
        <v>18</v>
      </c>
      <c r="I17" s="92" t="s">
        <v>44</v>
      </c>
      <c r="J17" s="194" t="s">
        <v>1213</v>
      </c>
      <c r="K17" s="235">
        <v>436</v>
      </c>
      <c r="L17" s="233" t="s">
        <v>1214</v>
      </c>
      <c r="M17" s="124">
        <v>407.86493731200005</v>
      </c>
      <c r="N17" s="228" t="s">
        <v>24</v>
      </c>
      <c r="O17" s="81">
        <v>2900</v>
      </c>
      <c r="P17" s="81">
        <v>38</v>
      </c>
      <c r="Q17" s="81">
        <v>4.9000000000000002E-2</v>
      </c>
    </row>
    <row r="18" spans="1:18" ht="18" customHeight="1" thickBot="1" x14ac:dyDescent="0.3">
      <c r="A18" s="47"/>
      <c r="B18" s="38" t="s">
        <v>1211</v>
      </c>
      <c r="C18" s="76">
        <v>2.2000000000000002</v>
      </c>
      <c r="D18" s="77">
        <v>3</v>
      </c>
      <c r="E18" s="76">
        <v>18</v>
      </c>
      <c r="F18" s="77">
        <v>30</v>
      </c>
      <c r="G18" s="76">
        <v>10</v>
      </c>
      <c r="H18" s="77">
        <v>20</v>
      </c>
      <c r="I18" s="92" t="s">
        <v>44</v>
      </c>
      <c r="J18" s="192"/>
      <c r="K18" s="234">
        <v>481.97361340799995</v>
      </c>
      <c r="L18" s="233" t="s">
        <v>1215</v>
      </c>
      <c r="M18" s="124">
        <v>450</v>
      </c>
      <c r="N18" s="228" t="s">
        <v>24</v>
      </c>
      <c r="O18" s="81">
        <v>2900</v>
      </c>
      <c r="P18" s="81">
        <v>40</v>
      </c>
      <c r="Q18" s="81">
        <v>4.9000000000000002E-2</v>
      </c>
    </row>
    <row r="19" spans="1:18" ht="18" customHeight="1" thickBot="1" x14ac:dyDescent="0.3">
      <c r="A19" s="47"/>
      <c r="B19" s="29" t="s">
        <v>1212</v>
      </c>
      <c r="C19" s="76">
        <v>3</v>
      </c>
      <c r="D19" s="77">
        <v>4</v>
      </c>
      <c r="E19" s="76">
        <v>25</v>
      </c>
      <c r="F19" s="77">
        <v>35</v>
      </c>
      <c r="G19" s="76">
        <v>12</v>
      </c>
      <c r="H19" s="77">
        <v>22</v>
      </c>
      <c r="I19" s="92" t="s">
        <v>44</v>
      </c>
      <c r="J19" s="192"/>
      <c r="K19" s="234">
        <v>868.68373031999988</v>
      </c>
      <c r="L19" s="233" t="s">
        <v>1216</v>
      </c>
      <c r="M19" s="124">
        <v>815.77441108799997</v>
      </c>
      <c r="N19" s="228" t="s">
        <v>24</v>
      </c>
      <c r="O19" s="81">
        <v>2900</v>
      </c>
      <c r="P19" s="81">
        <v>50</v>
      </c>
      <c r="Q19" s="81">
        <v>7.6999999999999999E-2</v>
      </c>
    </row>
    <row r="20" spans="1:18" ht="18" customHeight="1" thickBot="1" x14ac:dyDescent="0.3">
      <c r="A20" s="47"/>
      <c r="B20" s="29" t="s">
        <v>360</v>
      </c>
      <c r="C20" s="76">
        <v>4</v>
      </c>
      <c r="D20" s="77">
        <v>5.5</v>
      </c>
      <c r="E20" s="76">
        <v>28</v>
      </c>
      <c r="F20" s="77">
        <v>38</v>
      </c>
      <c r="G20" s="76">
        <v>15</v>
      </c>
      <c r="H20" s="77">
        <v>25</v>
      </c>
      <c r="I20" s="92" t="s">
        <v>44</v>
      </c>
      <c r="J20" s="193"/>
      <c r="K20" s="238"/>
      <c r="L20" s="233" t="s">
        <v>1217</v>
      </c>
      <c r="M20" s="124">
        <v>905.87167776000013</v>
      </c>
      <c r="N20" s="228" t="s">
        <v>24</v>
      </c>
      <c r="O20" s="81">
        <v>2900</v>
      </c>
      <c r="P20" s="81">
        <v>53</v>
      </c>
      <c r="Q20" s="81">
        <v>7.6999999999999999E-2</v>
      </c>
    </row>
    <row r="21" spans="1:18" s="271" customFormat="1" ht="8.25" customHeight="1" thickBot="1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8" s="217" customFormat="1" ht="15" customHeight="1" x14ac:dyDescent="0.25">
      <c r="B22" s="362" t="s">
        <v>32</v>
      </c>
      <c r="C22" s="363"/>
      <c r="D22" s="44" t="s">
        <v>33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7"/>
    </row>
    <row r="23" spans="1:18" s="217" customFormat="1" ht="15" customHeight="1" x14ac:dyDescent="0.25">
      <c r="B23" s="364" t="s">
        <v>308</v>
      </c>
      <c r="C23" s="365"/>
      <c r="D23" s="50" t="s">
        <v>701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8" s="217" customFormat="1" ht="15" customHeight="1" x14ac:dyDescent="0.25">
      <c r="B24" s="366" t="s">
        <v>702</v>
      </c>
      <c r="C24" s="367"/>
      <c r="D24" s="50" t="s">
        <v>703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</row>
    <row r="25" spans="1:18" s="217" customFormat="1" ht="15" customHeight="1" x14ac:dyDescent="0.25">
      <c r="B25" s="360" t="s">
        <v>357</v>
      </c>
      <c r="C25" s="361"/>
      <c r="D25" s="281" t="s">
        <v>361</v>
      </c>
      <c r="E25" s="284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1:18" s="217" customFormat="1" ht="15" customHeight="1" x14ac:dyDescent="0.25">
      <c r="B26" s="360" t="s">
        <v>362</v>
      </c>
      <c r="C26" s="361"/>
      <c r="D26" s="281" t="s">
        <v>363</v>
      </c>
      <c r="E26" s="284"/>
      <c r="F26" s="50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1:18" s="217" customFormat="1" ht="15" customHeight="1" x14ac:dyDescent="0.25">
      <c r="B27" s="360" t="s">
        <v>704</v>
      </c>
      <c r="C27" s="361"/>
      <c r="D27" s="281" t="s">
        <v>1299</v>
      </c>
      <c r="E27" s="284"/>
      <c r="F27" s="50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</sheetData>
  <mergeCells count="18">
    <mergeCell ref="O8:O9"/>
    <mergeCell ref="B8:B10"/>
    <mergeCell ref="C8:D9"/>
    <mergeCell ref="E8:F8"/>
    <mergeCell ref="G8:H8"/>
    <mergeCell ref="L9:M9"/>
    <mergeCell ref="J9:K9"/>
    <mergeCell ref="J8:M8"/>
    <mergeCell ref="N8:N10"/>
    <mergeCell ref="G9:H9"/>
    <mergeCell ref="E9:F9"/>
    <mergeCell ref="B26:C26"/>
    <mergeCell ref="A14:A15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zoomScaleNormal="100" workbookViewId="0">
      <selection activeCell="G25" sqref="G25"/>
    </sheetView>
  </sheetViews>
  <sheetFormatPr defaultRowHeight="15.75" x14ac:dyDescent="0.25"/>
  <cols>
    <col min="1" max="1" width="34.28515625" style="1" customWidth="1"/>
    <col min="2" max="2" width="28.5703125" style="64" customWidth="1"/>
    <col min="3" max="6" width="8.5703125" style="1" customWidth="1"/>
    <col min="7" max="7" width="10.85546875" style="1" customWidth="1"/>
    <col min="8" max="8" width="14.28515625" style="175" customWidth="1"/>
    <col min="9" max="13" width="10.85546875" style="1" customWidth="1"/>
    <col min="14" max="255" width="9.140625" style="123"/>
    <col min="256" max="256" width="34.28515625" style="123" customWidth="1"/>
    <col min="257" max="257" width="25.7109375" style="123" customWidth="1"/>
    <col min="258" max="261" width="8.5703125" style="123" customWidth="1"/>
    <col min="262" max="262" width="10.85546875" style="123" customWidth="1"/>
    <col min="263" max="263" width="21.42578125" style="123" customWidth="1"/>
    <col min="264" max="267" width="10.85546875" style="123" customWidth="1"/>
    <col min="268" max="511" width="9.140625" style="123"/>
    <col min="512" max="512" width="34.28515625" style="123" customWidth="1"/>
    <col min="513" max="513" width="25.7109375" style="123" customWidth="1"/>
    <col min="514" max="517" width="8.5703125" style="123" customWidth="1"/>
    <col min="518" max="518" width="10.85546875" style="123" customWidth="1"/>
    <col min="519" max="519" width="21.42578125" style="123" customWidth="1"/>
    <col min="520" max="523" width="10.85546875" style="123" customWidth="1"/>
    <col min="524" max="767" width="9.140625" style="123"/>
    <col min="768" max="768" width="34.28515625" style="123" customWidth="1"/>
    <col min="769" max="769" width="25.7109375" style="123" customWidth="1"/>
    <col min="770" max="773" width="8.5703125" style="123" customWidth="1"/>
    <col min="774" max="774" width="10.85546875" style="123" customWidth="1"/>
    <col min="775" max="775" width="21.42578125" style="123" customWidth="1"/>
    <col min="776" max="779" width="10.85546875" style="123" customWidth="1"/>
    <col min="780" max="1023" width="9.140625" style="123"/>
    <col min="1024" max="1024" width="34.28515625" style="123" customWidth="1"/>
    <col min="1025" max="1025" width="25.7109375" style="123" customWidth="1"/>
    <col min="1026" max="1029" width="8.5703125" style="123" customWidth="1"/>
    <col min="1030" max="1030" width="10.85546875" style="123" customWidth="1"/>
    <col min="1031" max="1031" width="21.42578125" style="123" customWidth="1"/>
    <col min="1032" max="1035" width="10.85546875" style="123" customWidth="1"/>
    <col min="1036" max="1279" width="9.140625" style="123"/>
    <col min="1280" max="1280" width="34.28515625" style="123" customWidth="1"/>
    <col min="1281" max="1281" width="25.7109375" style="123" customWidth="1"/>
    <col min="1282" max="1285" width="8.5703125" style="123" customWidth="1"/>
    <col min="1286" max="1286" width="10.85546875" style="123" customWidth="1"/>
    <col min="1287" max="1287" width="21.42578125" style="123" customWidth="1"/>
    <col min="1288" max="1291" width="10.85546875" style="123" customWidth="1"/>
    <col min="1292" max="1535" width="9.140625" style="123"/>
    <col min="1536" max="1536" width="34.28515625" style="123" customWidth="1"/>
    <col min="1537" max="1537" width="25.7109375" style="123" customWidth="1"/>
    <col min="1538" max="1541" width="8.5703125" style="123" customWidth="1"/>
    <col min="1542" max="1542" width="10.85546875" style="123" customWidth="1"/>
    <col min="1543" max="1543" width="21.42578125" style="123" customWidth="1"/>
    <col min="1544" max="1547" width="10.85546875" style="123" customWidth="1"/>
    <col min="1548" max="1791" width="9.140625" style="123"/>
    <col min="1792" max="1792" width="34.28515625" style="123" customWidth="1"/>
    <col min="1793" max="1793" width="25.7109375" style="123" customWidth="1"/>
    <col min="1794" max="1797" width="8.5703125" style="123" customWidth="1"/>
    <col min="1798" max="1798" width="10.85546875" style="123" customWidth="1"/>
    <col min="1799" max="1799" width="21.42578125" style="123" customWidth="1"/>
    <col min="1800" max="1803" width="10.85546875" style="123" customWidth="1"/>
    <col min="1804" max="2047" width="9.140625" style="123"/>
    <col min="2048" max="2048" width="34.28515625" style="123" customWidth="1"/>
    <col min="2049" max="2049" width="25.7109375" style="123" customWidth="1"/>
    <col min="2050" max="2053" width="8.5703125" style="123" customWidth="1"/>
    <col min="2054" max="2054" width="10.85546875" style="123" customWidth="1"/>
    <col min="2055" max="2055" width="21.42578125" style="123" customWidth="1"/>
    <col min="2056" max="2059" width="10.85546875" style="123" customWidth="1"/>
    <col min="2060" max="2303" width="9.140625" style="123"/>
    <col min="2304" max="2304" width="34.28515625" style="123" customWidth="1"/>
    <col min="2305" max="2305" width="25.7109375" style="123" customWidth="1"/>
    <col min="2306" max="2309" width="8.5703125" style="123" customWidth="1"/>
    <col min="2310" max="2310" width="10.85546875" style="123" customWidth="1"/>
    <col min="2311" max="2311" width="21.42578125" style="123" customWidth="1"/>
    <col min="2312" max="2315" width="10.85546875" style="123" customWidth="1"/>
    <col min="2316" max="2559" width="9.140625" style="123"/>
    <col min="2560" max="2560" width="34.28515625" style="123" customWidth="1"/>
    <col min="2561" max="2561" width="25.7109375" style="123" customWidth="1"/>
    <col min="2562" max="2565" width="8.5703125" style="123" customWidth="1"/>
    <col min="2566" max="2566" width="10.85546875" style="123" customWidth="1"/>
    <col min="2567" max="2567" width="21.42578125" style="123" customWidth="1"/>
    <col min="2568" max="2571" width="10.85546875" style="123" customWidth="1"/>
    <col min="2572" max="2815" width="9.140625" style="123"/>
    <col min="2816" max="2816" width="34.28515625" style="123" customWidth="1"/>
    <col min="2817" max="2817" width="25.7109375" style="123" customWidth="1"/>
    <col min="2818" max="2821" width="8.5703125" style="123" customWidth="1"/>
    <col min="2822" max="2822" width="10.85546875" style="123" customWidth="1"/>
    <col min="2823" max="2823" width="21.42578125" style="123" customWidth="1"/>
    <col min="2824" max="2827" width="10.85546875" style="123" customWidth="1"/>
    <col min="2828" max="3071" width="9.140625" style="123"/>
    <col min="3072" max="3072" width="34.28515625" style="123" customWidth="1"/>
    <col min="3073" max="3073" width="25.7109375" style="123" customWidth="1"/>
    <col min="3074" max="3077" width="8.5703125" style="123" customWidth="1"/>
    <col min="3078" max="3078" width="10.85546875" style="123" customWidth="1"/>
    <col min="3079" max="3079" width="21.42578125" style="123" customWidth="1"/>
    <col min="3080" max="3083" width="10.85546875" style="123" customWidth="1"/>
    <col min="3084" max="3327" width="9.140625" style="123"/>
    <col min="3328" max="3328" width="34.28515625" style="123" customWidth="1"/>
    <col min="3329" max="3329" width="25.7109375" style="123" customWidth="1"/>
    <col min="3330" max="3333" width="8.5703125" style="123" customWidth="1"/>
    <col min="3334" max="3334" width="10.85546875" style="123" customWidth="1"/>
    <col min="3335" max="3335" width="21.42578125" style="123" customWidth="1"/>
    <col min="3336" max="3339" width="10.85546875" style="123" customWidth="1"/>
    <col min="3340" max="3583" width="9.140625" style="123"/>
    <col min="3584" max="3584" width="34.28515625" style="123" customWidth="1"/>
    <col min="3585" max="3585" width="25.7109375" style="123" customWidth="1"/>
    <col min="3586" max="3589" width="8.5703125" style="123" customWidth="1"/>
    <col min="3590" max="3590" width="10.85546875" style="123" customWidth="1"/>
    <col min="3591" max="3591" width="21.42578125" style="123" customWidth="1"/>
    <col min="3592" max="3595" width="10.85546875" style="123" customWidth="1"/>
    <col min="3596" max="3839" width="9.140625" style="123"/>
    <col min="3840" max="3840" width="34.28515625" style="123" customWidth="1"/>
    <col min="3841" max="3841" width="25.7109375" style="123" customWidth="1"/>
    <col min="3842" max="3845" width="8.5703125" style="123" customWidth="1"/>
    <col min="3846" max="3846" width="10.85546875" style="123" customWidth="1"/>
    <col min="3847" max="3847" width="21.42578125" style="123" customWidth="1"/>
    <col min="3848" max="3851" width="10.85546875" style="123" customWidth="1"/>
    <col min="3852" max="4095" width="9.140625" style="123"/>
    <col min="4096" max="4096" width="34.28515625" style="123" customWidth="1"/>
    <col min="4097" max="4097" width="25.7109375" style="123" customWidth="1"/>
    <col min="4098" max="4101" width="8.5703125" style="123" customWidth="1"/>
    <col min="4102" max="4102" width="10.85546875" style="123" customWidth="1"/>
    <col min="4103" max="4103" width="21.42578125" style="123" customWidth="1"/>
    <col min="4104" max="4107" width="10.85546875" style="123" customWidth="1"/>
    <col min="4108" max="4351" width="9.140625" style="123"/>
    <col min="4352" max="4352" width="34.28515625" style="123" customWidth="1"/>
    <col min="4353" max="4353" width="25.7109375" style="123" customWidth="1"/>
    <col min="4354" max="4357" width="8.5703125" style="123" customWidth="1"/>
    <col min="4358" max="4358" width="10.85546875" style="123" customWidth="1"/>
    <col min="4359" max="4359" width="21.42578125" style="123" customWidth="1"/>
    <col min="4360" max="4363" width="10.85546875" style="123" customWidth="1"/>
    <col min="4364" max="4607" width="9.140625" style="123"/>
    <col min="4608" max="4608" width="34.28515625" style="123" customWidth="1"/>
    <col min="4609" max="4609" width="25.7109375" style="123" customWidth="1"/>
    <col min="4610" max="4613" width="8.5703125" style="123" customWidth="1"/>
    <col min="4614" max="4614" width="10.85546875" style="123" customWidth="1"/>
    <col min="4615" max="4615" width="21.42578125" style="123" customWidth="1"/>
    <col min="4616" max="4619" width="10.85546875" style="123" customWidth="1"/>
    <col min="4620" max="4863" width="9.140625" style="123"/>
    <col min="4864" max="4864" width="34.28515625" style="123" customWidth="1"/>
    <col min="4865" max="4865" width="25.7109375" style="123" customWidth="1"/>
    <col min="4866" max="4869" width="8.5703125" style="123" customWidth="1"/>
    <col min="4870" max="4870" width="10.85546875" style="123" customWidth="1"/>
    <col min="4871" max="4871" width="21.42578125" style="123" customWidth="1"/>
    <col min="4872" max="4875" width="10.85546875" style="123" customWidth="1"/>
    <col min="4876" max="5119" width="9.140625" style="123"/>
    <col min="5120" max="5120" width="34.28515625" style="123" customWidth="1"/>
    <col min="5121" max="5121" width="25.7109375" style="123" customWidth="1"/>
    <col min="5122" max="5125" width="8.5703125" style="123" customWidth="1"/>
    <col min="5126" max="5126" width="10.85546875" style="123" customWidth="1"/>
    <col min="5127" max="5127" width="21.42578125" style="123" customWidth="1"/>
    <col min="5128" max="5131" width="10.85546875" style="123" customWidth="1"/>
    <col min="5132" max="5375" width="9.140625" style="123"/>
    <col min="5376" max="5376" width="34.28515625" style="123" customWidth="1"/>
    <col min="5377" max="5377" width="25.7109375" style="123" customWidth="1"/>
    <col min="5378" max="5381" width="8.5703125" style="123" customWidth="1"/>
    <col min="5382" max="5382" width="10.85546875" style="123" customWidth="1"/>
    <col min="5383" max="5383" width="21.42578125" style="123" customWidth="1"/>
    <col min="5384" max="5387" width="10.85546875" style="123" customWidth="1"/>
    <col min="5388" max="5631" width="9.140625" style="123"/>
    <col min="5632" max="5632" width="34.28515625" style="123" customWidth="1"/>
    <col min="5633" max="5633" width="25.7109375" style="123" customWidth="1"/>
    <col min="5634" max="5637" width="8.5703125" style="123" customWidth="1"/>
    <col min="5638" max="5638" width="10.85546875" style="123" customWidth="1"/>
    <col min="5639" max="5639" width="21.42578125" style="123" customWidth="1"/>
    <col min="5640" max="5643" width="10.85546875" style="123" customWidth="1"/>
    <col min="5644" max="5887" width="9.140625" style="123"/>
    <col min="5888" max="5888" width="34.28515625" style="123" customWidth="1"/>
    <col min="5889" max="5889" width="25.7109375" style="123" customWidth="1"/>
    <col min="5890" max="5893" width="8.5703125" style="123" customWidth="1"/>
    <col min="5894" max="5894" width="10.85546875" style="123" customWidth="1"/>
    <col min="5895" max="5895" width="21.42578125" style="123" customWidth="1"/>
    <col min="5896" max="5899" width="10.85546875" style="123" customWidth="1"/>
    <col min="5900" max="6143" width="9.140625" style="123"/>
    <col min="6144" max="6144" width="34.28515625" style="123" customWidth="1"/>
    <col min="6145" max="6145" width="25.7109375" style="123" customWidth="1"/>
    <col min="6146" max="6149" width="8.5703125" style="123" customWidth="1"/>
    <col min="6150" max="6150" width="10.85546875" style="123" customWidth="1"/>
    <col min="6151" max="6151" width="21.42578125" style="123" customWidth="1"/>
    <col min="6152" max="6155" width="10.85546875" style="123" customWidth="1"/>
    <col min="6156" max="6399" width="9.140625" style="123"/>
    <col min="6400" max="6400" width="34.28515625" style="123" customWidth="1"/>
    <col min="6401" max="6401" width="25.7109375" style="123" customWidth="1"/>
    <col min="6402" max="6405" width="8.5703125" style="123" customWidth="1"/>
    <col min="6406" max="6406" width="10.85546875" style="123" customWidth="1"/>
    <col min="6407" max="6407" width="21.42578125" style="123" customWidth="1"/>
    <col min="6408" max="6411" width="10.85546875" style="123" customWidth="1"/>
    <col min="6412" max="6655" width="9.140625" style="123"/>
    <col min="6656" max="6656" width="34.28515625" style="123" customWidth="1"/>
    <col min="6657" max="6657" width="25.7109375" style="123" customWidth="1"/>
    <col min="6658" max="6661" width="8.5703125" style="123" customWidth="1"/>
    <col min="6662" max="6662" width="10.85546875" style="123" customWidth="1"/>
    <col min="6663" max="6663" width="21.42578125" style="123" customWidth="1"/>
    <col min="6664" max="6667" width="10.85546875" style="123" customWidth="1"/>
    <col min="6668" max="6911" width="9.140625" style="123"/>
    <col min="6912" max="6912" width="34.28515625" style="123" customWidth="1"/>
    <col min="6913" max="6913" width="25.7109375" style="123" customWidth="1"/>
    <col min="6914" max="6917" width="8.5703125" style="123" customWidth="1"/>
    <col min="6918" max="6918" width="10.85546875" style="123" customWidth="1"/>
    <col min="6919" max="6919" width="21.42578125" style="123" customWidth="1"/>
    <col min="6920" max="6923" width="10.85546875" style="123" customWidth="1"/>
    <col min="6924" max="7167" width="9.140625" style="123"/>
    <col min="7168" max="7168" width="34.28515625" style="123" customWidth="1"/>
    <col min="7169" max="7169" width="25.7109375" style="123" customWidth="1"/>
    <col min="7170" max="7173" width="8.5703125" style="123" customWidth="1"/>
    <col min="7174" max="7174" width="10.85546875" style="123" customWidth="1"/>
    <col min="7175" max="7175" width="21.42578125" style="123" customWidth="1"/>
    <col min="7176" max="7179" width="10.85546875" style="123" customWidth="1"/>
    <col min="7180" max="7423" width="9.140625" style="123"/>
    <col min="7424" max="7424" width="34.28515625" style="123" customWidth="1"/>
    <col min="7425" max="7425" width="25.7109375" style="123" customWidth="1"/>
    <col min="7426" max="7429" width="8.5703125" style="123" customWidth="1"/>
    <col min="7430" max="7430" width="10.85546875" style="123" customWidth="1"/>
    <col min="7431" max="7431" width="21.42578125" style="123" customWidth="1"/>
    <col min="7432" max="7435" width="10.85546875" style="123" customWidth="1"/>
    <col min="7436" max="7679" width="9.140625" style="123"/>
    <col min="7680" max="7680" width="34.28515625" style="123" customWidth="1"/>
    <col min="7681" max="7681" width="25.7109375" style="123" customWidth="1"/>
    <col min="7682" max="7685" width="8.5703125" style="123" customWidth="1"/>
    <col min="7686" max="7686" width="10.85546875" style="123" customWidth="1"/>
    <col min="7687" max="7687" width="21.42578125" style="123" customWidth="1"/>
    <col min="7688" max="7691" width="10.85546875" style="123" customWidth="1"/>
    <col min="7692" max="7935" width="9.140625" style="123"/>
    <col min="7936" max="7936" width="34.28515625" style="123" customWidth="1"/>
    <col min="7937" max="7937" width="25.7109375" style="123" customWidth="1"/>
    <col min="7938" max="7941" width="8.5703125" style="123" customWidth="1"/>
    <col min="7942" max="7942" width="10.85546875" style="123" customWidth="1"/>
    <col min="7943" max="7943" width="21.42578125" style="123" customWidth="1"/>
    <col min="7944" max="7947" width="10.85546875" style="123" customWidth="1"/>
    <col min="7948" max="8191" width="9.140625" style="123"/>
    <col min="8192" max="8192" width="34.28515625" style="123" customWidth="1"/>
    <col min="8193" max="8193" width="25.7109375" style="123" customWidth="1"/>
    <col min="8194" max="8197" width="8.5703125" style="123" customWidth="1"/>
    <col min="8198" max="8198" width="10.85546875" style="123" customWidth="1"/>
    <col min="8199" max="8199" width="21.42578125" style="123" customWidth="1"/>
    <col min="8200" max="8203" width="10.85546875" style="123" customWidth="1"/>
    <col min="8204" max="8447" width="9.140625" style="123"/>
    <col min="8448" max="8448" width="34.28515625" style="123" customWidth="1"/>
    <col min="8449" max="8449" width="25.7109375" style="123" customWidth="1"/>
    <col min="8450" max="8453" width="8.5703125" style="123" customWidth="1"/>
    <col min="8454" max="8454" width="10.85546875" style="123" customWidth="1"/>
    <col min="8455" max="8455" width="21.42578125" style="123" customWidth="1"/>
    <col min="8456" max="8459" width="10.85546875" style="123" customWidth="1"/>
    <col min="8460" max="8703" width="9.140625" style="123"/>
    <col min="8704" max="8704" width="34.28515625" style="123" customWidth="1"/>
    <col min="8705" max="8705" width="25.7109375" style="123" customWidth="1"/>
    <col min="8706" max="8709" width="8.5703125" style="123" customWidth="1"/>
    <col min="8710" max="8710" width="10.85546875" style="123" customWidth="1"/>
    <col min="8711" max="8711" width="21.42578125" style="123" customWidth="1"/>
    <col min="8712" max="8715" width="10.85546875" style="123" customWidth="1"/>
    <col min="8716" max="8959" width="9.140625" style="123"/>
    <col min="8960" max="8960" width="34.28515625" style="123" customWidth="1"/>
    <col min="8961" max="8961" width="25.7109375" style="123" customWidth="1"/>
    <col min="8962" max="8965" width="8.5703125" style="123" customWidth="1"/>
    <col min="8966" max="8966" width="10.85546875" style="123" customWidth="1"/>
    <col min="8967" max="8967" width="21.42578125" style="123" customWidth="1"/>
    <col min="8968" max="8971" width="10.85546875" style="123" customWidth="1"/>
    <col min="8972" max="9215" width="9.140625" style="123"/>
    <col min="9216" max="9216" width="34.28515625" style="123" customWidth="1"/>
    <col min="9217" max="9217" width="25.7109375" style="123" customWidth="1"/>
    <col min="9218" max="9221" width="8.5703125" style="123" customWidth="1"/>
    <col min="9222" max="9222" width="10.85546875" style="123" customWidth="1"/>
    <col min="9223" max="9223" width="21.42578125" style="123" customWidth="1"/>
    <col min="9224" max="9227" width="10.85546875" style="123" customWidth="1"/>
    <col min="9228" max="9471" width="9.140625" style="123"/>
    <col min="9472" max="9472" width="34.28515625" style="123" customWidth="1"/>
    <col min="9473" max="9473" width="25.7109375" style="123" customWidth="1"/>
    <col min="9474" max="9477" width="8.5703125" style="123" customWidth="1"/>
    <col min="9478" max="9478" width="10.85546875" style="123" customWidth="1"/>
    <col min="9479" max="9479" width="21.42578125" style="123" customWidth="1"/>
    <col min="9480" max="9483" width="10.85546875" style="123" customWidth="1"/>
    <col min="9484" max="9727" width="9.140625" style="123"/>
    <col min="9728" max="9728" width="34.28515625" style="123" customWidth="1"/>
    <col min="9729" max="9729" width="25.7109375" style="123" customWidth="1"/>
    <col min="9730" max="9733" width="8.5703125" style="123" customWidth="1"/>
    <col min="9734" max="9734" width="10.85546875" style="123" customWidth="1"/>
    <col min="9735" max="9735" width="21.42578125" style="123" customWidth="1"/>
    <col min="9736" max="9739" width="10.85546875" style="123" customWidth="1"/>
    <col min="9740" max="9983" width="9.140625" style="123"/>
    <col min="9984" max="9984" width="34.28515625" style="123" customWidth="1"/>
    <col min="9985" max="9985" width="25.7109375" style="123" customWidth="1"/>
    <col min="9986" max="9989" width="8.5703125" style="123" customWidth="1"/>
    <col min="9990" max="9990" width="10.85546875" style="123" customWidth="1"/>
    <col min="9991" max="9991" width="21.42578125" style="123" customWidth="1"/>
    <col min="9992" max="9995" width="10.85546875" style="123" customWidth="1"/>
    <col min="9996" max="10239" width="9.140625" style="123"/>
    <col min="10240" max="10240" width="34.28515625" style="123" customWidth="1"/>
    <col min="10241" max="10241" width="25.7109375" style="123" customWidth="1"/>
    <col min="10242" max="10245" width="8.5703125" style="123" customWidth="1"/>
    <col min="10246" max="10246" width="10.85546875" style="123" customWidth="1"/>
    <col min="10247" max="10247" width="21.42578125" style="123" customWidth="1"/>
    <col min="10248" max="10251" width="10.85546875" style="123" customWidth="1"/>
    <col min="10252" max="10495" width="9.140625" style="123"/>
    <col min="10496" max="10496" width="34.28515625" style="123" customWidth="1"/>
    <col min="10497" max="10497" width="25.7109375" style="123" customWidth="1"/>
    <col min="10498" max="10501" width="8.5703125" style="123" customWidth="1"/>
    <col min="10502" max="10502" width="10.85546875" style="123" customWidth="1"/>
    <col min="10503" max="10503" width="21.42578125" style="123" customWidth="1"/>
    <col min="10504" max="10507" width="10.85546875" style="123" customWidth="1"/>
    <col min="10508" max="10751" width="9.140625" style="123"/>
    <col min="10752" max="10752" width="34.28515625" style="123" customWidth="1"/>
    <col min="10753" max="10753" width="25.7109375" style="123" customWidth="1"/>
    <col min="10754" max="10757" width="8.5703125" style="123" customWidth="1"/>
    <col min="10758" max="10758" width="10.85546875" style="123" customWidth="1"/>
    <col min="10759" max="10759" width="21.42578125" style="123" customWidth="1"/>
    <col min="10760" max="10763" width="10.85546875" style="123" customWidth="1"/>
    <col min="10764" max="11007" width="9.140625" style="123"/>
    <col min="11008" max="11008" width="34.28515625" style="123" customWidth="1"/>
    <col min="11009" max="11009" width="25.7109375" style="123" customWidth="1"/>
    <col min="11010" max="11013" width="8.5703125" style="123" customWidth="1"/>
    <col min="11014" max="11014" width="10.85546875" style="123" customWidth="1"/>
    <col min="11015" max="11015" width="21.42578125" style="123" customWidth="1"/>
    <col min="11016" max="11019" width="10.85546875" style="123" customWidth="1"/>
    <col min="11020" max="11263" width="9.140625" style="123"/>
    <col min="11264" max="11264" width="34.28515625" style="123" customWidth="1"/>
    <col min="11265" max="11265" width="25.7109375" style="123" customWidth="1"/>
    <col min="11266" max="11269" width="8.5703125" style="123" customWidth="1"/>
    <col min="11270" max="11270" width="10.85546875" style="123" customWidth="1"/>
    <col min="11271" max="11271" width="21.42578125" style="123" customWidth="1"/>
    <col min="11272" max="11275" width="10.85546875" style="123" customWidth="1"/>
    <col min="11276" max="11519" width="9.140625" style="123"/>
    <col min="11520" max="11520" width="34.28515625" style="123" customWidth="1"/>
    <col min="11521" max="11521" width="25.7109375" style="123" customWidth="1"/>
    <col min="11522" max="11525" width="8.5703125" style="123" customWidth="1"/>
    <col min="11526" max="11526" width="10.85546875" style="123" customWidth="1"/>
    <col min="11527" max="11527" width="21.42578125" style="123" customWidth="1"/>
    <col min="11528" max="11531" width="10.85546875" style="123" customWidth="1"/>
    <col min="11532" max="11775" width="9.140625" style="123"/>
    <col min="11776" max="11776" width="34.28515625" style="123" customWidth="1"/>
    <col min="11777" max="11777" width="25.7109375" style="123" customWidth="1"/>
    <col min="11778" max="11781" width="8.5703125" style="123" customWidth="1"/>
    <col min="11782" max="11782" width="10.85546875" style="123" customWidth="1"/>
    <col min="11783" max="11783" width="21.42578125" style="123" customWidth="1"/>
    <col min="11784" max="11787" width="10.85546875" style="123" customWidth="1"/>
    <col min="11788" max="12031" width="9.140625" style="123"/>
    <col min="12032" max="12032" width="34.28515625" style="123" customWidth="1"/>
    <col min="12033" max="12033" width="25.7109375" style="123" customWidth="1"/>
    <col min="12034" max="12037" width="8.5703125" style="123" customWidth="1"/>
    <col min="12038" max="12038" width="10.85546875" style="123" customWidth="1"/>
    <col min="12039" max="12039" width="21.42578125" style="123" customWidth="1"/>
    <col min="12040" max="12043" width="10.85546875" style="123" customWidth="1"/>
    <col min="12044" max="12287" width="9.140625" style="123"/>
    <col min="12288" max="12288" width="34.28515625" style="123" customWidth="1"/>
    <col min="12289" max="12289" width="25.7109375" style="123" customWidth="1"/>
    <col min="12290" max="12293" width="8.5703125" style="123" customWidth="1"/>
    <col min="12294" max="12294" width="10.85546875" style="123" customWidth="1"/>
    <col min="12295" max="12295" width="21.42578125" style="123" customWidth="1"/>
    <col min="12296" max="12299" width="10.85546875" style="123" customWidth="1"/>
    <col min="12300" max="12543" width="9.140625" style="123"/>
    <col min="12544" max="12544" width="34.28515625" style="123" customWidth="1"/>
    <col min="12545" max="12545" width="25.7109375" style="123" customWidth="1"/>
    <col min="12546" max="12549" width="8.5703125" style="123" customWidth="1"/>
    <col min="12550" max="12550" width="10.85546875" style="123" customWidth="1"/>
    <col min="12551" max="12551" width="21.42578125" style="123" customWidth="1"/>
    <col min="12552" max="12555" width="10.85546875" style="123" customWidth="1"/>
    <col min="12556" max="12799" width="9.140625" style="123"/>
    <col min="12800" max="12800" width="34.28515625" style="123" customWidth="1"/>
    <col min="12801" max="12801" width="25.7109375" style="123" customWidth="1"/>
    <col min="12802" max="12805" width="8.5703125" style="123" customWidth="1"/>
    <col min="12806" max="12806" width="10.85546875" style="123" customWidth="1"/>
    <col min="12807" max="12807" width="21.42578125" style="123" customWidth="1"/>
    <col min="12808" max="12811" width="10.85546875" style="123" customWidth="1"/>
    <col min="12812" max="13055" width="9.140625" style="123"/>
    <col min="13056" max="13056" width="34.28515625" style="123" customWidth="1"/>
    <col min="13057" max="13057" width="25.7109375" style="123" customWidth="1"/>
    <col min="13058" max="13061" width="8.5703125" style="123" customWidth="1"/>
    <col min="13062" max="13062" width="10.85546875" style="123" customWidth="1"/>
    <col min="13063" max="13063" width="21.42578125" style="123" customWidth="1"/>
    <col min="13064" max="13067" width="10.85546875" style="123" customWidth="1"/>
    <col min="13068" max="13311" width="9.140625" style="123"/>
    <col min="13312" max="13312" width="34.28515625" style="123" customWidth="1"/>
    <col min="13313" max="13313" width="25.7109375" style="123" customWidth="1"/>
    <col min="13314" max="13317" width="8.5703125" style="123" customWidth="1"/>
    <col min="13318" max="13318" width="10.85546875" style="123" customWidth="1"/>
    <col min="13319" max="13319" width="21.42578125" style="123" customWidth="1"/>
    <col min="13320" max="13323" width="10.85546875" style="123" customWidth="1"/>
    <col min="13324" max="13567" width="9.140625" style="123"/>
    <col min="13568" max="13568" width="34.28515625" style="123" customWidth="1"/>
    <col min="13569" max="13569" width="25.7109375" style="123" customWidth="1"/>
    <col min="13570" max="13573" width="8.5703125" style="123" customWidth="1"/>
    <col min="13574" max="13574" width="10.85546875" style="123" customWidth="1"/>
    <col min="13575" max="13575" width="21.42578125" style="123" customWidth="1"/>
    <col min="13576" max="13579" width="10.85546875" style="123" customWidth="1"/>
    <col min="13580" max="13823" width="9.140625" style="123"/>
    <col min="13824" max="13824" width="34.28515625" style="123" customWidth="1"/>
    <col min="13825" max="13825" width="25.7109375" style="123" customWidth="1"/>
    <col min="13826" max="13829" width="8.5703125" style="123" customWidth="1"/>
    <col min="13830" max="13830" width="10.85546875" style="123" customWidth="1"/>
    <col min="13831" max="13831" width="21.42578125" style="123" customWidth="1"/>
    <col min="13832" max="13835" width="10.85546875" style="123" customWidth="1"/>
    <col min="13836" max="14079" width="9.140625" style="123"/>
    <col min="14080" max="14080" width="34.28515625" style="123" customWidth="1"/>
    <col min="14081" max="14081" width="25.7109375" style="123" customWidth="1"/>
    <col min="14082" max="14085" width="8.5703125" style="123" customWidth="1"/>
    <col min="14086" max="14086" width="10.85546875" style="123" customWidth="1"/>
    <col min="14087" max="14087" width="21.42578125" style="123" customWidth="1"/>
    <col min="14088" max="14091" width="10.85546875" style="123" customWidth="1"/>
    <col min="14092" max="14335" width="9.140625" style="123"/>
    <col min="14336" max="14336" width="34.28515625" style="123" customWidth="1"/>
    <col min="14337" max="14337" width="25.7109375" style="123" customWidth="1"/>
    <col min="14338" max="14341" width="8.5703125" style="123" customWidth="1"/>
    <col min="14342" max="14342" width="10.85546875" style="123" customWidth="1"/>
    <col min="14343" max="14343" width="21.42578125" style="123" customWidth="1"/>
    <col min="14344" max="14347" width="10.85546875" style="123" customWidth="1"/>
    <col min="14348" max="14591" width="9.140625" style="123"/>
    <col min="14592" max="14592" width="34.28515625" style="123" customWidth="1"/>
    <col min="14593" max="14593" width="25.7109375" style="123" customWidth="1"/>
    <col min="14594" max="14597" width="8.5703125" style="123" customWidth="1"/>
    <col min="14598" max="14598" width="10.85546875" style="123" customWidth="1"/>
    <col min="14599" max="14599" width="21.42578125" style="123" customWidth="1"/>
    <col min="14600" max="14603" width="10.85546875" style="123" customWidth="1"/>
    <col min="14604" max="14847" width="9.140625" style="123"/>
    <col min="14848" max="14848" width="34.28515625" style="123" customWidth="1"/>
    <col min="14849" max="14849" width="25.7109375" style="123" customWidth="1"/>
    <col min="14850" max="14853" width="8.5703125" style="123" customWidth="1"/>
    <col min="14854" max="14854" width="10.85546875" style="123" customWidth="1"/>
    <col min="14855" max="14855" width="21.42578125" style="123" customWidth="1"/>
    <col min="14856" max="14859" width="10.85546875" style="123" customWidth="1"/>
    <col min="14860" max="15103" width="9.140625" style="123"/>
    <col min="15104" max="15104" width="34.28515625" style="123" customWidth="1"/>
    <col min="15105" max="15105" width="25.7109375" style="123" customWidth="1"/>
    <col min="15106" max="15109" width="8.5703125" style="123" customWidth="1"/>
    <col min="15110" max="15110" width="10.85546875" style="123" customWidth="1"/>
    <col min="15111" max="15111" width="21.42578125" style="123" customWidth="1"/>
    <col min="15112" max="15115" width="10.85546875" style="123" customWidth="1"/>
    <col min="15116" max="15359" width="9.140625" style="123"/>
    <col min="15360" max="15360" width="34.28515625" style="123" customWidth="1"/>
    <col min="15361" max="15361" width="25.7109375" style="123" customWidth="1"/>
    <col min="15362" max="15365" width="8.5703125" style="123" customWidth="1"/>
    <col min="15366" max="15366" width="10.85546875" style="123" customWidth="1"/>
    <col min="15367" max="15367" width="21.42578125" style="123" customWidth="1"/>
    <col min="15368" max="15371" width="10.85546875" style="123" customWidth="1"/>
    <col min="15372" max="15615" width="9.140625" style="123"/>
    <col min="15616" max="15616" width="34.28515625" style="123" customWidth="1"/>
    <col min="15617" max="15617" width="25.7109375" style="123" customWidth="1"/>
    <col min="15618" max="15621" width="8.5703125" style="123" customWidth="1"/>
    <col min="15622" max="15622" width="10.85546875" style="123" customWidth="1"/>
    <col min="15623" max="15623" width="21.42578125" style="123" customWidth="1"/>
    <col min="15624" max="15627" width="10.85546875" style="123" customWidth="1"/>
    <col min="15628" max="15871" width="9.140625" style="123"/>
    <col min="15872" max="15872" width="34.28515625" style="123" customWidth="1"/>
    <col min="15873" max="15873" width="25.7109375" style="123" customWidth="1"/>
    <col min="15874" max="15877" width="8.5703125" style="123" customWidth="1"/>
    <col min="15878" max="15878" width="10.85546875" style="123" customWidth="1"/>
    <col min="15879" max="15879" width="21.42578125" style="123" customWidth="1"/>
    <col min="15880" max="15883" width="10.85546875" style="123" customWidth="1"/>
    <col min="15884" max="16127" width="9.140625" style="123"/>
    <col min="16128" max="16128" width="34.28515625" style="123" customWidth="1"/>
    <col min="16129" max="16129" width="25.7109375" style="123" customWidth="1"/>
    <col min="16130" max="16133" width="8.5703125" style="123" customWidth="1"/>
    <col min="16134" max="16134" width="10.85546875" style="123" customWidth="1"/>
    <col min="16135" max="16135" width="21.42578125" style="123" customWidth="1"/>
    <col min="16136" max="16139" width="10.85546875" style="123" customWidth="1"/>
    <col min="16140" max="16384" width="9.140625" style="123"/>
  </cols>
  <sheetData>
    <row r="1" spans="1:37" s="217" customFormat="1" x14ac:dyDescent="0.25"/>
    <row r="2" spans="1:37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</row>
    <row r="3" spans="1:37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</row>
    <row r="4" spans="1:37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</row>
    <row r="5" spans="1:37" s="8" customFormat="1" ht="18" customHeight="1" thickBot="1" x14ac:dyDescent="0.3">
      <c r="B5" s="9"/>
      <c r="L5" s="10"/>
      <c r="M5" s="10"/>
      <c r="N5" s="11"/>
    </row>
    <row r="6" spans="1:37" s="13" customFormat="1" ht="32.1" customHeight="1" thickBot="1" x14ac:dyDescent="0.3">
      <c r="A6" s="216"/>
      <c r="B6" s="359" t="s">
        <v>1306</v>
      </c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8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pans="1:37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37" s="17" customFormat="1" ht="18" customHeight="1" x14ac:dyDescent="0.25">
      <c r="A8" s="59"/>
      <c r="B8" s="341" t="s">
        <v>1</v>
      </c>
      <c r="C8" s="337" t="s">
        <v>2</v>
      </c>
      <c r="D8" s="338"/>
      <c r="E8" s="337" t="s">
        <v>355</v>
      </c>
      <c r="F8" s="338"/>
      <c r="G8" s="219" t="s">
        <v>4</v>
      </c>
      <c r="H8" s="330" t="s">
        <v>5</v>
      </c>
      <c r="I8" s="374"/>
      <c r="J8" s="325" t="s">
        <v>356</v>
      </c>
      <c r="K8" s="371" t="s">
        <v>7</v>
      </c>
      <c r="L8" s="347" t="s">
        <v>8</v>
      </c>
      <c r="M8" s="328" t="s">
        <v>9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s="14" customFormat="1" ht="18" customHeight="1" x14ac:dyDescent="0.25">
      <c r="A9" s="216" t="s">
        <v>364</v>
      </c>
      <c r="B9" s="342"/>
      <c r="C9" s="339"/>
      <c r="D9" s="340"/>
      <c r="E9" s="224" t="s">
        <v>10</v>
      </c>
      <c r="F9" s="218" t="s">
        <v>11</v>
      </c>
      <c r="G9" s="116"/>
      <c r="H9" s="333"/>
      <c r="I9" s="349"/>
      <c r="J9" s="326" t="s">
        <v>358</v>
      </c>
      <c r="K9" s="372"/>
      <c r="L9" s="326"/>
      <c r="M9" s="32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</row>
    <row r="10" spans="1:37" s="17" customFormat="1" ht="18" customHeight="1" thickBot="1" x14ac:dyDescent="0.3">
      <c r="A10" s="47"/>
      <c r="B10" s="343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18</v>
      </c>
      <c r="J10" s="327"/>
      <c r="K10" s="314" t="s">
        <v>19</v>
      </c>
      <c r="L10" s="348" t="s">
        <v>20</v>
      </c>
      <c r="M10" s="26" t="s">
        <v>21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</row>
    <row r="11" spans="1:37" s="47" customFormat="1" ht="18" customHeight="1" thickBot="1" x14ac:dyDescent="0.3">
      <c r="A11" s="18"/>
      <c r="B11" s="84" t="s">
        <v>366</v>
      </c>
      <c r="C11" s="76">
        <v>1.5</v>
      </c>
      <c r="D11" s="77">
        <v>2</v>
      </c>
      <c r="E11" s="76">
        <v>8</v>
      </c>
      <c r="F11" s="77">
        <v>15</v>
      </c>
      <c r="G11" s="92" t="s">
        <v>299</v>
      </c>
      <c r="H11" s="192"/>
      <c r="I11" s="245">
        <v>1071.3246415200001</v>
      </c>
      <c r="J11" s="228" t="s">
        <v>24</v>
      </c>
      <c r="K11" s="81">
        <v>2900</v>
      </c>
      <c r="L11" s="81">
        <v>50</v>
      </c>
      <c r="M11" s="285">
        <f>0.44*0.28*0.47</f>
        <v>5.7904000000000004E-2</v>
      </c>
    </row>
    <row r="12" spans="1:37" s="47" customFormat="1" ht="18" customHeight="1" thickBot="1" x14ac:dyDescent="0.3">
      <c r="A12" s="18"/>
      <c r="B12" s="84" t="s">
        <v>367</v>
      </c>
      <c r="C12" s="76">
        <v>2.2000000000000002</v>
      </c>
      <c r="D12" s="77">
        <v>3</v>
      </c>
      <c r="E12" s="76">
        <v>5</v>
      </c>
      <c r="F12" s="77">
        <v>20</v>
      </c>
      <c r="G12" s="92" t="s">
        <v>300</v>
      </c>
      <c r="H12" s="192"/>
      <c r="I12" s="245">
        <v>1119.1122673919999</v>
      </c>
      <c r="J12" s="228" t="s">
        <v>24</v>
      </c>
      <c r="K12" s="81">
        <v>2900</v>
      </c>
      <c r="L12" s="81">
        <v>50</v>
      </c>
      <c r="M12" s="285">
        <f>0.44*0.28*0.47</f>
        <v>5.7904000000000004E-2</v>
      </c>
    </row>
    <row r="13" spans="1:37" s="47" customFormat="1" ht="18" customHeight="1" thickBot="1" x14ac:dyDescent="0.3">
      <c r="A13" s="18"/>
      <c r="B13" s="84" t="s">
        <v>368</v>
      </c>
      <c r="C13" s="76" t="s">
        <v>369</v>
      </c>
      <c r="D13" s="77">
        <v>4</v>
      </c>
      <c r="E13" s="76">
        <v>9</v>
      </c>
      <c r="F13" s="77">
        <v>30</v>
      </c>
      <c r="G13" s="92" t="s">
        <v>300</v>
      </c>
      <c r="H13" s="192"/>
      <c r="I13" s="245">
        <v>1340.99293104</v>
      </c>
      <c r="J13" s="228" t="s">
        <v>24</v>
      </c>
      <c r="K13" s="81">
        <v>2900</v>
      </c>
      <c r="L13" s="81">
        <v>50</v>
      </c>
      <c r="M13" s="285">
        <f>0.48*0.31*0.53</f>
        <v>7.8864000000000004E-2</v>
      </c>
    </row>
    <row r="14" spans="1:37" s="47" customFormat="1" ht="18" customHeight="1" thickBot="1" x14ac:dyDescent="0.3">
      <c r="A14" s="18"/>
      <c r="B14" s="84" t="s">
        <v>370</v>
      </c>
      <c r="C14" s="76">
        <v>2.2000000000000002</v>
      </c>
      <c r="D14" s="77">
        <v>3</v>
      </c>
      <c r="E14" s="76">
        <v>10</v>
      </c>
      <c r="F14" s="77">
        <v>20</v>
      </c>
      <c r="G14" s="92" t="s">
        <v>301</v>
      </c>
      <c r="H14" s="192"/>
      <c r="I14" s="245">
        <v>1119.1122673919999</v>
      </c>
      <c r="J14" s="228" t="s">
        <v>24</v>
      </c>
      <c r="K14" s="81">
        <v>2900</v>
      </c>
      <c r="L14" s="81">
        <v>50</v>
      </c>
      <c r="M14" s="285">
        <f>0.44*0.28*0.47</f>
        <v>5.7904000000000004E-2</v>
      </c>
    </row>
    <row r="15" spans="1:37" s="47" customFormat="1" ht="18" customHeight="1" thickBot="1" x14ac:dyDescent="0.3">
      <c r="A15" s="18"/>
      <c r="B15" s="84" t="s">
        <v>371</v>
      </c>
      <c r="C15" s="76" t="s">
        <v>369</v>
      </c>
      <c r="D15" s="77">
        <v>4</v>
      </c>
      <c r="E15" s="76">
        <v>15</v>
      </c>
      <c r="F15" s="77">
        <v>30</v>
      </c>
      <c r="G15" s="92" t="s">
        <v>301</v>
      </c>
      <c r="H15" s="192"/>
      <c r="I15" s="245">
        <v>1340.99293104</v>
      </c>
      <c r="J15" s="228" t="s">
        <v>24</v>
      </c>
      <c r="K15" s="81">
        <v>2900</v>
      </c>
      <c r="L15" s="81">
        <v>50</v>
      </c>
      <c r="M15" s="285">
        <f>0.48*0.31*0.53</f>
        <v>7.8864000000000004E-2</v>
      </c>
    </row>
    <row r="16" spans="1:37" s="47" customFormat="1" ht="18" customHeight="1" thickBot="1" x14ac:dyDescent="0.3">
      <c r="A16" s="18"/>
      <c r="B16" s="84" t="s">
        <v>372</v>
      </c>
      <c r="C16" s="76">
        <v>2.2000000000000002</v>
      </c>
      <c r="D16" s="77">
        <v>3</v>
      </c>
      <c r="E16" s="76">
        <v>10</v>
      </c>
      <c r="F16" s="77">
        <v>20</v>
      </c>
      <c r="G16" s="92" t="s">
        <v>302</v>
      </c>
      <c r="H16" s="192"/>
      <c r="I16" s="245">
        <v>1119.1122673919999</v>
      </c>
      <c r="J16" s="228" t="s">
        <v>24</v>
      </c>
      <c r="K16" s="81">
        <v>2900</v>
      </c>
      <c r="L16" s="81">
        <v>50</v>
      </c>
      <c r="M16" s="285">
        <f>0.44*0.28*0.47</f>
        <v>5.7904000000000004E-2</v>
      </c>
    </row>
    <row r="17" spans="1:13" s="47" customFormat="1" ht="18" customHeight="1" thickBot="1" x14ac:dyDescent="0.3">
      <c r="A17" s="18"/>
      <c r="B17" s="29" t="s">
        <v>373</v>
      </c>
      <c r="C17" s="76">
        <v>2.2000000000000002</v>
      </c>
      <c r="D17" s="77">
        <v>3</v>
      </c>
      <c r="E17" s="76">
        <v>20</v>
      </c>
      <c r="F17" s="77">
        <v>15</v>
      </c>
      <c r="G17" s="92" t="s">
        <v>302</v>
      </c>
      <c r="H17" s="194" t="s">
        <v>1222</v>
      </c>
      <c r="I17" s="246">
        <v>1120</v>
      </c>
      <c r="J17" s="228" t="s">
        <v>24</v>
      </c>
      <c r="K17" s="81">
        <v>2900</v>
      </c>
      <c r="L17" s="81">
        <v>50</v>
      </c>
      <c r="M17" s="285">
        <f>0.44*0.28*0.47</f>
        <v>5.7904000000000004E-2</v>
      </c>
    </row>
    <row r="18" spans="1:13" s="47" customFormat="1" ht="18" customHeight="1" thickBot="1" x14ac:dyDescent="0.3">
      <c r="A18" s="18"/>
      <c r="B18" s="29" t="s">
        <v>374</v>
      </c>
      <c r="C18" s="76" t="s">
        <v>369</v>
      </c>
      <c r="D18" s="77">
        <v>4</v>
      </c>
      <c r="E18" s="76">
        <v>18</v>
      </c>
      <c r="F18" s="77">
        <v>22</v>
      </c>
      <c r="G18" s="92" t="s">
        <v>302</v>
      </c>
      <c r="H18" s="194" t="s">
        <v>1221</v>
      </c>
      <c r="I18" s="246">
        <v>1340.99293104</v>
      </c>
      <c r="J18" s="228" t="s">
        <v>24</v>
      </c>
      <c r="K18" s="81">
        <v>2900</v>
      </c>
      <c r="L18" s="81">
        <v>50</v>
      </c>
      <c r="M18" s="285">
        <f>0.48*0.31*0.53</f>
        <v>7.8864000000000004E-2</v>
      </c>
    </row>
    <row r="19" spans="1:13" s="47" customFormat="1" ht="18" customHeight="1" thickBot="1" x14ac:dyDescent="0.3">
      <c r="A19" s="125" t="s">
        <v>365</v>
      </c>
      <c r="B19" s="29" t="s">
        <v>375</v>
      </c>
      <c r="C19" s="76" t="s">
        <v>369</v>
      </c>
      <c r="D19" s="77">
        <v>4</v>
      </c>
      <c r="E19" s="76">
        <v>15</v>
      </c>
      <c r="F19" s="77">
        <v>30</v>
      </c>
      <c r="G19" s="92" t="s">
        <v>302</v>
      </c>
      <c r="H19" s="194" t="s">
        <v>1220</v>
      </c>
      <c r="I19" s="246">
        <v>1342</v>
      </c>
      <c r="J19" s="228" t="s">
        <v>24</v>
      </c>
      <c r="K19" s="81">
        <v>2900</v>
      </c>
      <c r="L19" s="81">
        <v>50</v>
      </c>
      <c r="M19" s="285">
        <f>0.48*0.31*0.53</f>
        <v>7.8864000000000004E-2</v>
      </c>
    </row>
    <row r="20" spans="1:13" s="47" customFormat="1" ht="18" customHeight="1" thickBot="1" x14ac:dyDescent="0.3">
      <c r="B20" s="29" t="s">
        <v>376</v>
      </c>
      <c r="C20" s="76">
        <v>5.5</v>
      </c>
      <c r="D20" s="77">
        <v>7.5</v>
      </c>
      <c r="E20" s="76">
        <v>20</v>
      </c>
      <c r="F20" s="77">
        <v>35</v>
      </c>
      <c r="G20" s="92" t="s">
        <v>302</v>
      </c>
      <c r="H20" s="194" t="s">
        <v>1223</v>
      </c>
      <c r="I20" s="246">
        <v>1714.921082784</v>
      </c>
      <c r="J20" s="228" t="s">
        <v>24</v>
      </c>
      <c r="K20" s="81">
        <v>2900</v>
      </c>
      <c r="L20" s="81">
        <v>50</v>
      </c>
      <c r="M20" s="285">
        <f>0.68*0.35*0.63</f>
        <v>0.14993999999999999</v>
      </c>
    </row>
    <row r="21" spans="1:13" s="47" customFormat="1" ht="18" customHeight="1" thickBot="1" x14ac:dyDescent="0.3">
      <c r="A21" s="18"/>
      <c r="B21" s="84" t="s">
        <v>377</v>
      </c>
      <c r="C21" s="76">
        <v>7.5</v>
      </c>
      <c r="D21" s="77">
        <v>10</v>
      </c>
      <c r="E21" s="76">
        <v>20</v>
      </c>
      <c r="F21" s="77">
        <v>40</v>
      </c>
      <c r="G21" s="92" t="s">
        <v>302</v>
      </c>
      <c r="H21" s="192"/>
      <c r="I21" s="245">
        <v>1792.8153583200001</v>
      </c>
      <c r="J21" s="228" t="s">
        <v>24</v>
      </c>
      <c r="K21" s="81">
        <v>2900</v>
      </c>
      <c r="L21" s="81">
        <v>50</v>
      </c>
      <c r="M21" s="285">
        <f>0.66*0.33*0.64</f>
        <v>0.13939200000000002</v>
      </c>
    </row>
    <row r="22" spans="1:13" s="47" customFormat="1" ht="18" customHeight="1" thickBot="1" x14ac:dyDescent="0.3">
      <c r="A22" s="18"/>
      <c r="B22" s="84" t="s">
        <v>378</v>
      </c>
      <c r="C22" s="76" t="s">
        <v>379</v>
      </c>
      <c r="D22" s="77">
        <v>15</v>
      </c>
      <c r="E22" s="76">
        <v>20</v>
      </c>
      <c r="F22" s="77">
        <v>50</v>
      </c>
      <c r="G22" s="92" t="s">
        <v>302</v>
      </c>
      <c r="H22" s="192"/>
      <c r="I22" s="245">
        <v>2674.3255902719998</v>
      </c>
      <c r="J22" s="228" t="s">
        <v>24</v>
      </c>
      <c r="K22" s="81">
        <v>2900</v>
      </c>
      <c r="L22" s="81">
        <v>50</v>
      </c>
      <c r="M22" s="285">
        <f>0.68*0.42*0.65</f>
        <v>0.18564000000000003</v>
      </c>
    </row>
    <row r="23" spans="1:13" s="47" customFormat="1" ht="18" customHeight="1" thickBot="1" x14ac:dyDescent="0.3">
      <c r="A23" s="18"/>
      <c r="B23" s="29" t="s">
        <v>380</v>
      </c>
      <c r="C23" s="76" t="s">
        <v>381</v>
      </c>
      <c r="D23" s="77">
        <v>5.5</v>
      </c>
      <c r="E23" s="76">
        <v>30</v>
      </c>
      <c r="F23" s="77">
        <v>18</v>
      </c>
      <c r="G23" s="92" t="s">
        <v>303</v>
      </c>
      <c r="H23" s="194" t="s">
        <v>1225</v>
      </c>
      <c r="I23" s="246">
        <v>1439</v>
      </c>
      <c r="J23" s="228" t="s">
        <v>24</v>
      </c>
      <c r="K23" s="81">
        <v>2900</v>
      </c>
      <c r="L23" s="81">
        <v>50</v>
      </c>
      <c r="M23" s="285">
        <f>0.5*0.33*0.53</f>
        <v>8.7450000000000014E-2</v>
      </c>
    </row>
    <row r="24" spans="1:13" s="47" customFormat="1" ht="18" customHeight="1" thickBot="1" x14ac:dyDescent="0.3">
      <c r="A24" s="18"/>
      <c r="B24" s="84" t="s">
        <v>382</v>
      </c>
      <c r="C24" s="76" t="s">
        <v>381</v>
      </c>
      <c r="D24" s="77">
        <v>5.5</v>
      </c>
      <c r="E24" s="76">
        <v>30</v>
      </c>
      <c r="F24" s="77">
        <v>18</v>
      </c>
      <c r="G24" s="92" t="s">
        <v>303</v>
      </c>
      <c r="H24" s="192"/>
      <c r="I24" s="245">
        <v>1889.9939227679997</v>
      </c>
      <c r="J24" s="228" t="s">
        <v>24</v>
      </c>
      <c r="K24" s="81">
        <v>1450</v>
      </c>
      <c r="L24" s="81">
        <v>50</v>
      </c>
      <c r="M24" s="285">
        <f>0.68*0.34*0.68</f>
        <v>0.15721600000000005</v>
      </c>
    </row>
    <row r="25" spans="1:13" s="47" customFormat="1" ht="18" customHeight="1" thickBot="1" x14ac:dyDescent="0.3">
      <c r="A25" s="18"/>
      <c r="B25" s="29" t="s">
        <v>383</v>
      </c>
      <c r="C25" s="76">
        <v>5.5</v>
      </c>
      <c r="D25" s="77">
        <v>7.5</v>
      </c>
      <c r="E25" s="76">
        <v>25</v>
      </c>
      <c r="F25" s="77">
        <v>30</v>
      </c>
      <c r="G25" s="92" t="s">
        <v>303</v>
      </c>
      <c r="H25" s="194" t="s">
        <v>1224</v>
      </c>
      <c r="I25" s="246">
        <v>1714.921082784</v>
      </c>
      <c r="J25" s="228" t="s">
        <v>24</v>
      </c>
      <c r="K25" s="81">
        <v>2900</v>
      </c>
      <c r="L25" s="81">
        <v>50</v>
      </c>
      <c r="M25" s="285">
        <f>0.66*0.33*0.64</f>
        <v>0.13939200000000002</v>
      </c>
    </row>
    <row r="26" spans="1:13" s="47" customFormat="1" ht="18" customHeight="1" thickBot="1" x14ac:dyDescent="0.3">
      <c r="A26" s="18"/>
      <c r="B26" s="84" t="s">
        <v>384</v>
      </c>
      <c r="C26" s="76">
        <v>7.5</v>
      </c>
      <c r="D26" s="77">
        <v>10</v>
      </c>
      <c r="E26" s="76">
        <v>25</v>
      </c>
      <c r="F26" s="77">
        <v>40</v>
      </c>
      <c r="G26" s="92" t="s">
        <v>303</v>
      </c>
      <c r="H26" s="192"/>
      <c r="I26" s="245">
        <v>1792.8153583200001</v>
      </c>
      <c r="J26" s="228" t="s">
        <v>24</v>
      </c>
      <c r="K26" s="81">
        <v>2900</v>
      </c>
      <c r="L26" s="81">
        <v>50</v>
      </c>
      <c r="M26" s="285">
        <f>0.66*0.33*0.64</f>
        <v>0.13939200000000002</v>
      </c>
    </row>
    <row r="27" spans="1:13" s="47" customFormat="1" ht="18" customHeight="1" thickBot="1" x14ac:dyDescent="0.3">
      <c r="A27" s="18"/>
      <c r="B27" s="84" t="s">
        <v>385</v>
      </c>
      <c r="C27" s="76" t="s">
        <v>379</v>
      </c>
      <c r="D27" s="77">
        <v>15</v>
      </c>
      <c r="E27" s="76">
        <v>25</v>
      </c>
      <c r="F27" s="77">
        <v>50</v>
      </c>
      <c r="G27" s="92" t="s">
        <v>303</v>
      </c>
      <c r="H27" s="192"/>
      <c r="I27" s="245">
        <v>2674.3255902719998</v>
      </c>
      <c r="J27" s="228" t="s">
        <v>24</v>
      </c>
      <c r="K27" s="81">
        <v>2900</v>
      </c>
      <c r="L27" s="81">
        <v>50</v>
      </c>
      <c r="M27" s="285">
        <f>0.68*0.42*0.65</f>
        <v>0.18564000000000003</v>
      </c>
    </row>
    <row r="28" spans="1:13" s="47" customFormat="1" ht="18" customHeight="1" thickBot="1" x14ac:dyDescent="0.3">
      <c r="A28" s="18"/>
      <c r="B28" s="29" t="s">
        <v>386</v>
      </c>
      <c r="C28" s="76">
        <v>7.5</v>
      </c>
      <c r="D28" s="77">
        <v>10</v>
      </c>
      <c r="E28" s="76">
        <v>40</v>
      </c>
      <c r="F28" s="77">
        <v>25</v>
      </c>
      <c r="G28" s="92" t="s">
        <v>303</v>
      </c>
      <c r="H28" s="194" t="s">
        <v>1226</v>
      </c>
      <c r="I28" s="246">
        <v>1792.8153583200001</v>
      </c>
      <c r="J28" s="228" t="s">
        <v>24</v>
      </c>
      <c r="K28" s="81">
        <v>2900</v>
      </c>
      <c r="L28" s="81">
        <v>50</v>
      </c>
      <c r="M28" s="285">
        <f>0.66*0.33*0.64</f>
        <v>0.13939200000000002</v>
      </c>
    </row>
    <row r="29" spans="1:13" s="47" customFormat="1" ht="18" customHeight="1" thickBot="1" x14ac:dyDescent="0.3">
      <c r="A29" s="18"/>
      <c r="B29" s="29" t="s">
        <v>387</v>
      </c>
      <c r="C29" s="76" t="s">
        <v>381</v>
      </c>
      <c r="D29" s="77">
        <v>5.5</v>
      </c>
      <c r="E29" s="76">
        <v>40</v>
      </c>
      <c r="F29" s="77">
        <v>16</v>
      </c>
      <c r="G29" s="92" t="s">
        <v>304</v>
      </c>
      <c r="H29" s="194" t="s">
        <v>1227</v>
      </c>
      <c r="I29" s="246">
        <v>1513.2154373279998</v>
      </c>
      <c r="J29" s="228" t="s">
        <v>24</v>
      </c>
      <c r="K29" s="81">
        <v>2900</v>
      </c>
      <c r="L29" s="81">
        <v>50</v>
      </c>
      <c r="M29" s="285">
        <f>0.5*0.33*0.53</f>
        <v>8.7450000000000014E-2</v>
      </c>
    </row>
    <row r="30" spans="1:13" s="47" customFormat="1" ht="18" customHeight="1" thickBot="1" x14ac:dyDescent="0.3">
      <c r="A30" s="18"/>
      <c r="B30" s="84" t="s">
        <v>388</v>
      </c>
      <c r="C30" s="76" t="s">
        <v>381</v>
      </c>
      <c r="D30" s="77">
        <v>5.5</v>
      </c>
      <c r="E30" s="76">
        <v>40</v>
      </c>
      <c r="F30" s="77">
        <v>16</v>
      </c>
      <c r="G30" s="92" t="s">
        <v>304</v>
      </c>
      <c r="H30" s="192"/>
      <c r="I30" s="245">
        <v>1889.9939227679997</v>
      </c>
      <c r="J30" s="228" t="s">
        <v>24</v>
      </c>
      <c r="K30" s="81">
        <v>1450</v>
      </c>
      <c r="L30" s="81">
        <v>50</v>
      </c>
      <c r="M30" s="285">
        <f>0.68*0.34*0.68</f>
        <v>0.15721600000000005</v>
      </c>
    </row>
    <row r="31" spans="1:13" s="47" customFormat="1" ht="18" customHeight="1" thickBot="1" x14ac:dyDescent="0.3">
      <c r="A31" s="18"/>
      <c r="B31" s="84" t="s">
        <v>389</v>
      </c>
      <c r="C31" s="76">
        <v>7.5</v>
      </c>
      <c r="D31" s="77">
        <v>10</v>
      </c>
      <c r="E31" s="76">
        <v>25</v>
      </c>
      <c r="F31" s="77">
        <v>40</v>
      </c>
      <c r="G31" s="92" t="s">
        <v>304</v>
      </c>
      <c r="H31" s="192"/>
      <c r="I31" s="245">
        <v>1792.8153583200001</v>
      </c>
      <c r="J31" s="228" t="s">
        <v>24</v>
      </c>
      <c r="K31" s="81">
        <v>2900</v>
      </c>
      <c r="L31" s="81">
        <v>50</v>
      </c>
      <c r="M31" s="285">
        <f>0.66*0.33*0.64</f>
        <v>0.13939200000000002</v>
      </c>
    </row>
    <row r="32" spans="1:13" s="47" customFormat="1" ht="18" customHeight="1" thickBot="1" x14ac:dyDescent="0.3">
      <c r="A32" s="18"/>
      <c r="B32" s="29" t="s">
        <v>390</v>
      </c>
      <c r="C32" s="76">
        <v>5.5</v>
      </c>
      <c r="D32" s="77">
        <v>7.5</v>
      </c>
      <c r="E32" s="76">
        <v>50</v>
      </c>
      <c r="F32" s="77">
        <v>15</v>
      </c>
      <c r="G32" s="92" t="s">
        <v>304</v>
      </c>
      <c r="H32" s="194" t="s">
        <v>1228</v>
      </c>
      <c r="I32" s="246">
        <v>1736</v>
      </c>
      <c r="J32" s="228" t="s">
        <v>24</v>
      </c>
      <c r="K32" s="81">
        <v>2900</v>
      </c>
      <c r="L32" s="81">
        <v>50</v>
      </c>
      <c r="M32" s="285">
        <f>0.59*0.34*0.59</f>
        <v>0.118354</v>
      </c>
    </row>
    <row r="33" spans="1:13" s="47" customFormat="1" ht="18" customHeight="1" thickBot="1" x14ac:dyDescent="0.3">
      <c r="A33" s="18"/>
      <c r="B33" s="29" t="s">
        <v>391</v>
      </c>
      <c r="C33" s="76">
        <v>7.5</v>
      </c>
      <c r="D33" s="77">
        <v>10</v>
      </c>
      <c r="E33" s="76">
        <v>65</v>
      </c>
      <c r="F33" s="77">
        <v>25</v>
      </c>
      <c r="G33" s="92" t="s">
        <v>304</v>
      </c>
      <c r="H33" s="194" t="s">
        <v>1230</v>
      </c>
      <c r="I33" s="246">
        <v>1794</v>
      </c>
      <c r="J33" s="228" t="s">
        <v>24</v>
      </c>
      <c r="K33" s="81">
        <v>2900</v>
      </c>
      <c r="L33" s="81">
        <v>50</v>
      </c>
      <c r="M33" s="285">
        <f>0.59*0.34*0.59</f>
        <v>0.118354</v>
      </c>
    </row>
    <row r="34" spans="1:13" s="47" customFormat="1" ht="18" customHeight="1" thickBot="1" x14ac:dyDescent="0.3">
      <c r="A34" s="18"/>
      <c r="B34" s="29" t="s">
        <v>392</v>
      </c>
      <c r="C34" s="76" t="s">
        <v>379</v>
      </c>
      <c r="D34" s="77">
        <v>15</v>
      </c>
      <c r="E34" s="76">
        <v>50</v>
      </c>
      <c r="F34" s="77">
        <v>30</v>
      </c>
      <c r="G34" s="92" t="s">
        <v>304</v>
      </c>
      <c r="H34" s="194" t="s">
        <v>1229</v>
      </c>
      <c r="I34" s="246">
        <v>2680</v>
      </c>
      <c r="J34" s="228" t="s">
        <v>24</v>
      </c>
      <c r="K34" s="81">
        <v>2900</v>
      </c>
      <c r="L34" s="81">
        <v>50</v>
      </c>
      <c r="M34" s="285">
        <f>0.68*0.34*0.68</f>
        <v>0.15721600000000005</v>
      </c>
    </row>
    <row r="35" spans="1:13" s="47" customFormat="1" ht="18" customHeight="1" thickBot="1" x14ac:dyDescent="0.3">
      <c r="A35" s="18"/>
      <c r="B35" s="84" t="s">
        <v>393</v>
      </c>
      <c r="C35" s="76" t="s">
        <v>394</v>
      </c>
      <c r="D35" s="77">
        <v>20</v>
      </c>
      <c r="E35" s="76">
        <v>80</v>
      </c>
      <c r="F35" s="77">
        <v>35</v>
      </c>
      <c r="G35" s="92" t="s">
        <v>304</v>
      </c>
      <c r="H35" s="192"/>
      <c r="I35" s="247" t="s">
        <v>28</v>
      </c>
      <c r="J35" s="228" t="s">
        <v>24</v>
      </c>
      <c r="K35" s="81">
        <v>2900</v>
      </c>
      <c r="L35" s="81">
        <v>50</v>
      </c>
      <c r="M35" s="285">
        <f>0.75*0.45*0.73</f>
        <v>0.24637500000000001</v>
      </c>
    </row>
    <row r="36" spans="1:13" s="47" customFormat="1" ht="18" customHeight="1" thickBot="1" x14ac:dyDescent="0.3">
      <c r="A36" s="18"/>
      <c r="B36" s="84" t="s">
        <v>395</v>
      </c>
      <c r="C36" s="76" t="s">
        <v>396</v>
      </c>
      <c r="D36" s="77">
        <v>30</v>
      </c>
      <c r="E36" s="76">
        <v>50</v>
      </c>
      <c r="F36" s="77">
        <v>60</v>
      </c>
      <c r="G36" s="92" t="s">
        <v>304</v>
      </c>
      <c r="H36" s="192"/>
      <c r="I36" s="247" t="s">
        <v>28</v>
      </c>
      <c r="J36" s="228" t="s">
        <v>24</v>
      </c>
      <c r="K36" s="81">
        <v>2900</v>
      </c>
      <c r="L36" s="81">
        <v>50</v>
      </c>
      <c r="M36" s="285">
        <f>0.72*0.43*0.7</f>
        <v>0.21671999999999997</v>
      </c>
    </row>
    <row r="37" spans="1:13" s="47" customFormat="1" ht="18" customHeight="1" thickBot="1" x14ac:dyDescent="0.3">
      <c r="A37" s="18"/>
      <c r="B37" s="84" t="s">
        <v>397</v>
      </c>
      <c r="C37" s="76">
        <v>5.5</v>
      </c>
      <c r="D37" s="77">
        <v>7.5</v>
      </c>
      <c r="E37" s="76">
        <v>100</v>
      </c>
      <c r="F37" s="77">
        <v>10</v>
      </c>
      <c r="G37" s="92" t="s">
        <v>305</v>
      </c>
      <c r="H37" s="192"/>
      <c r="I37" s="247" t="s">
        <v>28</v>
      </c>
      <c r="J37" s="228" t="s">
        <v>24</v>
      </c>
      <c r="K37" s="81">
        <v>1450</v>
      </c>
      <c r="L37" s="81">
        <v>50</v>
      </c>
      <c r="M37" s="285">
        <f>0.79*0.43*0.8</f>
        <v>0.27176</v>
      </c>
    </row>
    <row r="38" spans="1:13" s="47" customFormat="1" ht="18" customHeight="1" thickBot="1" x14ac:dyDescent="0.3">
      <c r="A38" s="18"/>
      <c r="B38" s="84" t="s">
        <v>398</v>
      </c>
      <c r="C38" s="76">
        <v>7.5</v>
      </c>
      <c r="D38" s="77">
        <v>10</v>
      </c>
      <c r="E38" s="76">
        <v>80</v>
      </c>
      <c r="F38" s="77">
        <v>20</v>
      </c>
      <c r="G38" s="92" t="s">
        <v>305</v>
      </c>
      <c r="H38" s="192" t="s">
        <v>1219</v>
      </c>
      <c r="I38" s="247" t="s">
        <v>28</v>
      </c>
      <c r="J38" s="228" t="s">
        <v>24</v>
      </c>
      <c r="K38" s="81">
        <v>1450</v>
      </c>
      <c r="L38" s="81">
        <v>50</v>
      </c>
      <c r="M38" s="285">
        <f>0.79*0.43*0.8</f>
        <v>0.27176</v>
      </c>
    </row>
    <row r="39" spans="1:13" s="47" customFormat="1" ht="18" customHeight="1" thickBot="1" x14ac:dyDescent="0.3">
      <c r="A39" s="18"/>
      <c r="B39" s="84" t="s">
        <v>399</v>
      </c>
      <c r="C39" s="76">
        <v>7.5</v>
      </c>
      <c r="D39" s="77">
        <v>10</v>
      </c>
      <c r="E39" s="76">
        <v>100</v>
      </c>
      <c r="F39" s="77">
        <v>15</v>
      </c>
      <c r="G39" s="92" t="s">
        <v>305</v>
      </c>
      <c r="H39" s="192"/>
      <c r="I39" s="247" t="s">
        <v>28</v>
      </c>
      <c r="J39" s="228" t="s">
        <v>24</v>
      </c>
      <c r="K39" s="81">
        <v>1450</v>
      </c>
      <c r="L39" s="81">
        <v>50</v>
      </c>
      <c r="M39" s="285">
        <f>0.79*0.43*0.8</f>
        <v>0.27176</v>
      </c>
    </row>
    <row r="40" spans="1:13" s="47" customFormat="1" ht="18" customHeight="1" thickBot="1" x14ac:dyDescent="0.3">
      <c r="A40" s="18"/>
      <c r="B40" s="84" t="s">
        <v>400</v>
      </c>
      <c r="C40" s="76" t="s">
        <v>379</v>
      </c>
      <c r="D40" s="77">
        <v>15</v>
      </c>
      <c r="E40" s="76">
        <v>100</v>
      </c>
      <c r="F40" s="77">
        <v>15</v>
      </c>
      <c r="G40" s="92" t="s">
        <v>305</v>
      </c>
      <c r="H40" s="192"/>
      <c r="I40" s="247" t="s">
        <v>28</v>
      </c>
      <c r="J40" s="228" t="s">
        <v>24</v>
      </c>
      <c r="K40" s="81">
        <v>2900</v>
      </c>
      <c r="L40" s="81">
        <v>50</v>
      </c>
      <c r="M40" s="285">
        <f>0.79*0.43*0.8</f>
        <v>0.27176</v>
      </c>
    </row>
    <row r="41" spans="1:13" s="47" customFormat="1" ht="18" customHeight="1" thickBot="1" x14ac:dyDescent="0.3">
      <c r="A41" s="18"/>
      <c r="B41" s="84" t="s">
        <v>401</v>
      </c>
      <c r="C41" s="76" t="s">
        <v>394</v>
      </c>
      <c r="D41" s="77">
        <v>20</v>
      </c>
      <c r="E41" s="76">
        <v>100</v>
      </c>
      <c r="F41" s="77">
        <v>20</v>
      </c>
      <c r="G41" s="92" t="s">
        <v>305</v>
      </c>
      <c r="H41" s="192"/>
      <c r="I41" s="247" t="s">
        <v>28</v>
      </c>
      <c r="J41" s="228" t="s">
        <v>24</v>
      </c>
      <c r="K41" s="81">
        <v>2900</v>
      </c>
      <c r="L41" s="81">
        <v>50</v>
      </c>
      <c r="M41" s="285">
        <f>0.86*0.45*0.82</f>
        <v>0.31734000000000001</v>
      </c>
    </row>
    <row r="42" spans="1:13" s="47" customFormat="1" ht="18" customHeight="1" thickBot="1" x14ac:dyDescent="0.3">
      <c r="A42" s="18"/>
      <c r="B42" s="84" t="s">
        <v>402</v>
      </c>
      <c r="C42" s="76" t="s">
        <v>379</v>
      </c>
      <c r="D42" s="77">
        <v>15</v>
      </c>
      <c r="E42" s="76">
        <v>100</v>
      </c>
      <c r="F42" s="77">
        <v>20</v>
      </c>
      <c r="G42" s="92" t="s">
        <v>305</v>
      </c>
      <c r="H42" s="192"/>
      <c r="I42" s="247" t="s">
        <v>28</v>
      </c>
      <c r="J42" s="228" t="s">
        <v>24</v>
      </c>
      <c r="K42" s="81">
        <v>1450</v>
      </c>
      <c r="L42" s="81">
        <v>50</v>
      </c>
      <c r="M42" s="285">
        <f>0.81*0.45*0.88</f>
        <v>0.32076000000000005</v>
      </c>
    </row>
    <row r="43" spans="1:13" s="47" customFormat="1" ht="18" customHeight="1" thickBot="1" x14ac:dyDescent="0.3">
      <c r="A43" s="18"/>
      <c r="B43" s="84" t="s">
        <v>403</v>
      </c>
      <c r="C43" s="76" t="s">
        <v>396</v>
      </c>
      <c r="D43" s="77">
        <v>30</v>
      </c>
      <c r="E43" s="76">
        <v>100</v>
      </c>
      <c r="F43" s="77">
        <v>30</v>
      </c>
      <c r="G43" s="92" t="s">
        <v>305</v>
      </c>
      <c r="H43" s="192"/>
      <c r="I43" s="247" t="s">
        <v>28</v>
      </c>
      <c r="J43" s="228" t="s">
        <v>24</v>
      </c>
      <c r="K43" s="81">
        <v>2900</v>
      </c>
      <c r="L43" s="81">
        <v>50</v>
      </c>
      <c r="M43" s="285">
        <f>0.86*0.45*0.82</f>
        <v>0.31734000000000001</v>
      </c>
    </row>
    <row r="44" spans="1:13" s="47" customFormat="1" ht="18" customHeight="1" thickBot="1" x14ac:dyDescent="0.3">
      <c r="A44" s="18"/>
      <c r="B44" s="84" t="s">
        <v>404</v>
      </c>
      <c r="C44" s="76">
        <v>30</v>
      </c>
      <c r="D44" s="77">
        <v>40</v>
      </c>
      <c r="E44" s="76">
        <v>80</v>
      </c>
      <c r="F44" s="77">
        <v>45</v>
      </c>
      <c r="G44" s="92" t="s">
        <v>305</v>
      </c>
      <c r="H44" s="192"/>
      <c r="I44" s="247" t="s">
        <v>28</v>
      </c>
      <c r="J44" s="228" t="s">
        <v>24</v>
      </c>
      <c r="K44" s="81">
        <v>2900</v>
      </c>
      <c r="L44" s="81">
        <v>50</v>
      </c>
      <c r="M44" s="285">
        <f>0.83*0.55*0.84</f>
        <v>0.38346000000000002</v>
      </c>
    </row>
    <row r="45" spans="1:13" s="47" customFormat="1" ht="18" customHeight="1" thickBot="1" x14ac:dyDescent="0.3">
      <c r="A45" s="18"/>
      <c r="B45" s="84" t="s">
        <v>405</v>
      </c>
      <c r="C45" s="76" t="s">
        <v>406</v>
      </c>
      <c r="D45" s="77">
        <v>50</v>
      </c>
      <c r="E45" s="76">
        <v>80</v>
      </c>
      <c r="F45" s="77">
        <v>60</v>
      </c>
      <c r="G45" s="92" t="s">
        <v>305</v>
      </c>
      <c r="H45" s="192"/>
      <c r="I45" s="247" t="s">
        <v>28</v>
      </c>
      <c r="J45" s="228" t="s">
        <v>24</v>
      </c>
      <c r="K45" s="81">
        <v>2900</v>
      </c>
      <c r="L45" s="81">
        <v>50</v>
      </c>
      <c r="M45" s="285">
        <f>0.83*0.55*0.84</f>
        <v>0.38346000000000002</v>
      </c>
    </row>
    <row r="46" spans="1:13" s="47" customFormat="1" ht="18" customHeight="1" thickBot="1" x14ac:dyDescent="0.3">
      <c r="A46" s="18"/>
      <c r="B46" s="84" t="s">
        <v>407</v>
      </c>
      <c r="C46" s="76" t="s">
        <v>408</v>
      </c>
      <c r="D46" s="77">
        <v>60</v>
      </c>
      <c r="E46" s="76">
        <v>80</v>
      </c>
      <c r="F46" s="77">
        <v>80</v>
      </c>
      <c r="G46" s="92" t="s">
        <v>305</v>
      </c>
      <c r="H46" s="192"/>
      <c r="I46" s="247" t="s">
        <v>28</v>
      </c>
      <c r="J46" s="228" t="s">
        <v>24</v>
      </c>
      <c r="K46" s="81">
        <v>2900</v>
      </c>
      <c r="L46" s="81">
        <v>50</v>
      </c>
      <c r="M46" s="285">
        <f>0.83*0.55*0.84</f>
        <v>0.38346000000000002</v>
      </c>
    </row>
    <row r="47" spans="1:13" s="47" customFormat="1" ht="18" customHeight="1" thickBot="1" x14ac:dyDescent="0.3">
      <c r="A47" s="18"/>
      <c r="B47" s="84" t="s">
        <v>409</v>
      </c>
      <c r="C47" s="76" t="s">
        <v>394</v>
      </c>
      <c r="D47" s="77">
        <v>20</v>
      </c>
      <c r="E47" s="76">
        <v>120</v>
      </c>
      <c r="F47" s="77">
        <v>20</v>
      </c>
      <c r="G47" s="92" t="s">
        <v>410</v>
      </c>
      <c r="H47" s="192"/>
      <c r="I47" s="247" t="s">
        <v>28</v>
      </c>
      <c r="J47" s="228" t="s">
        <v>24</v>
      </c>
      <c r="K47" s="81">
        <v>1450</v>
      </c>
      <c r="L47" s="81">
        <v>50</v>
      </c>
      <c r="M47" s="285">
        <f>0.81*0.45*0.88</f>
        <v>0.32076000000000005</v>
      </c>
    </row>
    <row r="48" spans="1:13" s="47" customFormat="1" ht="18" customHeight="1" thickBot="1" x14ac:dyDescent="0.3">
      <c r="A48" s="18"/>
      <c r="B48" s="84" t="s">
        <v>411</v>
      </c>
      <c r="C48" s="76" t="s">
        <v>379</v>
      </c>
      <c r="D48" s="77">
        <v>15</v>
      </c>
      <c r="E48" s="76">
        <v>180</v>
      </c>
      <c r="F48" s="77">
        <v>10</v>
      </c>
      <c r="G48" s="92" t="s">
        <v>412</v>
      </c>
      <c r="H48" s="192"/>
      <c r="I48" s="247" t="s">
        <v>28</v>
      </c>
      <c r="J48" s="228" t="s">
        <v>24</v>
      </c>
      <c r="K48" s="81">
        <v>1450</v>
      </c>
      <c r="L48" s="81">
        <v>50</v>
      </c>
      <c r="M48" s="285">
        <f>0.81*0.45*0.88</f>
        <v>0.32076000000000005</v>
      </c>
    </row>
    <row r="49" spans="1:17" s="47" customFormat="1" ht="18" customHeight="1" thickBot="1" x14ac:dyDescent="0.3">
      <c r="A49" s="18"/>
      <c r="B49" s="84" t="s">
        <v>413</v>
      </c>
      <c r="C49" s="76" t="s">
        <v>394</v>
      </c>
      <c r="D49" s="77">
        <v>20</v>
      </c>
      <c r="E49" s="76">
        <v>180</v>
      </c>
      <c r="F49" s="77">
        <v>14</v>
      </c>
      <c r="G49" s="92" t="s">
        <v>412</v>
      </c>
      <c r="H49" s="192"/>
      <c r="I49" s="247" t="s">
        <v>28</v>
      </c>
      <c r="J49" s="228" t="s">
        <v>24</v>
      </c>
      <c r="K49" s="81">
        <v>1450</v>
      </c>
      <c r="L49" s="81">
        <v>50</v>
      </c>
      <c r="M49" s="285">
        <f>0.81*0.45*0.88</f>
        <v>0.32076000000000005</v>
      </c>
    </row>
    <row r="50" spans="1:17" s="47" customFormat="1" ht="18" customHeight="1" thickBot="1" x14ac:dyDescent="0.3">
      <c r="A50" s="18"/>
      <c r="B50" s="84" t="s">
        <v>414</v>
      </c>
      <c r="C50" s="76">
        <v>18.5</v>
      </c>
      <c r="D50" s="77">
        <v>25</v>
      </c>
      <c r="E50" s="76">
        <v>180</v>
      </c>
      <c r="F50" s="77">
        <v>20</v>
      </c>
      <c r="G50" s="92" t="s">
        <v>412</v>
      </c>
      <c r="H50" s="192"/>
      <c r="I50" s="247" t="s">
        <v>28</v>
      </c>
      <c r="J50" s="228" t="s">
        <v>24</v>
      </c>
      <c r="K50" s="81">
        <v>1450</v>
      </c>
      <c r="L50" s="81">
        <v>50</v>
      </c>
      <c r="M50" s="285">
        <f>0.81*0.45*0.88</f>
        <v>0.32076000000000005</v>
      </c>
    </row>
    <row r="51" spans="1:17" s="47" customFormat="1" ht="18" customHeight="1" thickBot="1" x14ac:dyDescent="0.3">
      <c r="A51" s="18"/>
      <c r="B51" s="84" t="s">
        <v>415</v>
      </c>
      <c r="C51" s="76" t="s">
        <v>416</v>
      </c>
      <c r="D51" s="77">
        <v>40</v>
      </c>
      <c r="E51" s="76">
        <v>180</v>
      </c>
      <c r="F51" s="77">
        <v>30</v>
      </c>
      <c r="G51" s="92" t="s">
        <v>412</v>
      </c>
      <c r="H51" s="192"/>
      <c r="I51" s="247" t="s">
        <v>28</v>
      </c>
      <c r="J51" s="228" t="s">
        <v>24</v>
      </c>
      <c r="K51" s="81">
        <v>1450</v>
      </c>
      <c r="L51" s="81">
        <v>50</v>
      </c>
      <c r="M51" s="285">
        <f>0.87*0.55*0.99</f>
        <v>0.47371500000000005</v>
      </c>
    </row>
    <row r="52" spans="1:17" s="47" customFormat="1" ht="18" customHeight="1" thickBot="1" x14ac:dyDescent="0.3">
      <c r="A52" s="18"/>
      <c r="B52" s="84" t="s">
        <v>417</v>
      </c>
      <c r="C52" s="76" t="s">
        <v>406</v>
      </c>
      <c r="D52" s="77">
        <v>50</v>
      </c>
      <c r="E52" s="76">
        <v>180</v>
      </c>
      <c r="F52" s="77">
        <v>35</v>
      </c>
      <c r="G52" s="92" t="s">
        <v>412</v>
      </c>
      <c r="H52" s="192"/>
      <c r="I52" s="247" t="s">
        <v>28</v>
      </c>
      <c r="J52" s="228" t="s">
        <v>24</v>
      </c>
      <c r="K52" s="81">
        <v>1450</v>
      </c>
      <c r="L52" s="81">
        <v>50</v>
      </c>
      <c r="M52" s="285">
        <f>0.95*0.65*1.07</f>
        <v>0.66072500000000001</v>
      </c>
    </row>
    <row r="53" spans="1:17" s="47" customFormat="1" ht="18" customHeight="1" thickBot="1" x14ac:dyDescent="0.3">
      <c r="A53" s="18"/>
      <c r="B53" s="84" t="s">
        <v>418</v>
      </c>
      <c r="C53" s="76" t="s">
        <v>408</v>
      </c>
      <c r="D53" s="77">
        <v>60</v>
      </c>
      <c r="E53" s="76">
        <v>180</v>
      </c>
      <c r="F53" s="77">
        <v>38</v>
      </c>
      <c r="G53" s="92" t="s">
        <v>412</v>
      </c>
      <c r="H53" s="192"/>
      <c r="I53" s="247" t="s">
        <v>28</v>
      </c>
      <c r="J53" s="228" t="s">
        <v>24</v>
      </c>
      <c r="K53" s="81">
        <v>1450</v>
      </c>
      <c r="L53" s="81">
        <v>50</v>
      </c>
      <c r="M53" s="285">
        <f>1.02*0.58*0.93</f>
        <v>0.55018800000000001</v>
      </c>
    </row>
    <row r="54" spans="1:17" s="47" customFormat="1" ht="18" customHeight="1" thickBot="1" x14ac:dyDescent="0.3">
      <c r="A54" s="18"/>
      <c r="B54" s="84" t="s">
        <v>419</v>
      </c>
      <c r="C54" s="76" t="s">
        <v>420</v>
      </c>
      <c r="D54" s="77">
        <v>75</v>
      </c>
      <c r="E54" s="76">
        <v>180</v>
      </c>
      <c r="F54" s="77">
        <v>45</v>
      </c>
      <c r="G54" s="92" t="s">
        <v>412</v>
      </c>
      <c r="H54" s="192"/>
      <c r="I54" s="247" t="s">
        <v>28</v>
      </c>
      <c r="J54" s="228" t="s">
        <v>24</v>
      </c>
      <c r="K54" s="81">
        <v>1450</v>
      </c>
      <c r="L54" s="81">
        <v>50</v>
      </c>
      <c r="M54" s="285">
        <f>0.95*0.65*1.07</f>
        <v>0.66072500000000001</v>
      </c>
    </row>
    <row r="55" spans="1:17" s="47" customFormat="1" ht="18" customHeight="1" thickBot="1" x14ac:dyDescent="0.3">
      <c r="A55" s="18"/>
      <c r="B55" s="84" t="s">
        <v>421</v>
      </c>
      <c r="C55" s="76" t="s">
        <v>396</v>
      </c>
      <c r="D55" s="77">
        <v>30</v>
      </c>
      <c r="E55" s="76">
        <v>280</v>
      </c>
      <c r="F55" s="77">
        <v>14</v>
      </c>
      <c r="G55" s="92" t="s">
        <v>422</v>
      </c>
      <c r="H55" s="192"/>
      <c r="I55" s="247" t="s">
        <v>28</v>
      </c>
      <c r="J55" s="228" t="s">
        <v>24</v>
      </c>
      <c r="K55" s="81">
        <v>1450</v>
      </c>
      <c r="L55" s="81">
        <v>50</v>
      </c>
      <c r="M55" s="285">
        <f>1.04*0.51*1.02</f>
        <v>0.54100800000000004</v>
      </c>
    </row>
    <row r="56" spans="1:17" s="47" customFormat="1" ht="18" customHeight="1" thickBot="1" x14ac:dyDescent="0.3">
      <c r="A56" s="18"/>
      <c r="B56" s="84" t="s">
        <v>423</v>
      </c>
      <c r="C56" s="76" t="s">
        <v>406</v>
      </c>
      <c r="D56" s="77">
        <v>50</v>
      </c>
      <c r="E56" s="76">
        <v>280</v>
      </c>
      <c r="F56" s="77">
        <v>20</v>
      </c>
      <c r="G56" s="92" t="s">
        <v>422</v>
      </c>
      <c r="H56" s="192"/>
      <c r="I56" s="247" t="s">
        <v>28</v>
      </c>
      <c r="J56" s="228" t="s">
        <v>24</v>
      </c>
      <c r="K56" s="81">
        <v>1450</v>
      </c>
      <c r="L56" s="81">
        <v>50</v>
      </c>
      <c r="M56" s="285">
        <f>1.04*0.56*1.02</f>
        <v>0.59404800000000002</v>
      </c>
    </row>
    <row r="57" spans="1:17" s="47" customFormat="1" ht="18" customHeight="1" thickBot="1" x14ac:dyDescent="0.3">
      <c r="A57" s="18"/>
      <c r="B57" s="84" t="s">
        <v>424</v>
      </c>
      <c r="C57" s="76" t="s">
        <v>408</v>
      </c>
      <c r="D57" s="77">
        <v>60</v>
      </c>
      <c r="E57" s="76">
        <v>280</v>
      </c>
      <c r="F57" s="77">
        <v>25</v>
      </c>
      <c r="G57" s="92" t="s">
        <v>422</v>
      </c>
      <c r="H57" s="192"/>
      <c r="I57" s="247" t="s">
        <v>28</v>
      </c>
      <c r="J57" s="228" t="s">
        <v>24</v>
      </c>
      <c r="K57" s="81">
        <v>1450</v>
      </c>
      <c r="L57" s="81">
        <v>50</v>
      </c>
      <c r="M57" s="285">
        <f>1.04*0.56*1.02</f>
        <v>0.59404800000000002</v>
      </c>
    </row>
    <row r="58" spans="1:17" s="47" customFormat="1" ht="18" customHeight="1" thickBot="1" x14ac:dyDescent="0.3">
      <c r="A58" s="18"/>
      <c r="B58" s="84" t="s">
        <v>425</v>
      </c>
      <c r="C58" s="76" t="s">
        <v>420</v>
      </c>
      <c r="D58" s="77">
        <v>75</v>
      </c>
      <c r="E58" s="76">
        <v>280</v>
      </c>
      <c r="F58" s="77">
        <v>28</v>
      </c>
      <c r="G58" s="92" t="s">
        <v>422</v>
      </c>
      <c r="H58" s="192"/>
      <c r="I58" s="247" t="s">
        <v>28</v>
      </c>
      <c r="J58" s="228" t="s">
        <v>24</v>
      </c>
      <c r="K58" s="81">
        <v>1450</v>
      </c>
      <c r="L58" s="81">
        <v>50</v>
      </c>
      <c r="M58" s="285">
        <f>1.23*0.52*1.03</f>
        <v>0.65878800000000004</v>
      </c>
    </row>
    <row r="59" spans="1:17" s="47" customFormat="1" ht="18" customHeight="1" thickBot="1" x14ac:dyDescent="0.3">
      <c r="A59" s="18"/>
      <c r="B59" s="84" t="s">
        <v>426</v>
      </c>
      <c r="C59" s="76" t="s">
        <v>408</v>
      </c>
      <c r="D59" s="77">
        <v>60</v>
      </c>
      <c r="E59" s="76">
        <v>420</v>
      </c>
      <c r="F59" s="77">
        <v>14</v>
      </c>
      <c r="G59" s="92" t="s">
        <v>427</v>
      </c>
      <c r="H59" s="192"/>
      <c r="I59" s="247" t="s">
        <v>28</v>
      </c>
      <c r="J59" s="228" t="s">
        <v>24</v>
      </c>
      <c r="K59" s="81">
        <v>1450</v>
      </c>
      <c r="L59" s="81">
        <v>50</v>
      </c>
      <c r="M59" s="285">
        <f>1.06*0.68*1.1</f>
        <v>0.79288000000000014</v>
      </c>
    </row>
    <row r="60" spans="1:17" s="47" customFormat="1" ht="18" customHeight="1" thickBot="1" x14ac:dyDescent="0.3">
      <c r="A60" s="18"/>
      <c r="B60" s="84" t="s">
        <v>428</v>
      </c>
      <c r="C60" s="76" t="s">
        <v>420</v>
      </c>
      <c r="D60" s="77">
        <v>75</v>
      </c>
      <c r="E60" s="76">
        <v>420</v>
      </c>
      <c r="F60" s="77">
        <v>20</v>
      </c>
      <c r="G60" s="92" t="s">
        <v>427</v>
      </c>
      <c r="H60" s="192"/>
      <c r="I60" s="247" t="s">
        <v>28</v>
      </c>
      <c r="J60" s="228" t="s">
        <v>24</v>
      </c>
      <c r="K60" s="81">
        <v>1450</v>
      </c>
      <c r="L60" s="81">
        <v>50</v>
      </c>
      <c r="M60" s="285">
        <f>1.06*0.68*1.1</f>
        <v>0.79288000000000014</v>
      </c>
    </row>
    <row r="61" spans="1:17" s="47" customFormat="1" ht="18" customHeight="1" thickBot="1" x14ac:dyDescent="0.3">
      <c r="A61" s="18"/>
      <c r="B61" s="84" t="s">
        <v>429</v>
      </c>
      <c r="C61" s="76" t="s">
        <v>420</v>
      </c>
      <c r="D61" s="77">
        <v>75</v>
      </c>
      <c r="E61" s="76">
        <v>800</v>
      </c>
      <c r="F61" s="77">
        <v>14</v>
      </c>
      <c r="G61" s="92" t="s">
        <v>430</v>
      </c>
      <c r="H61" s="192"/>
      <c r="I61" s="247" t="s">
        <v>28</v>
      </c>
      <c r="J61" s="228" t="s">
        <v>24</v>
      </c>
      <c r="K61" s="81">
        <v>1450</v>
      </c>
      <c r="L61" s="81">
        <v>50</v>
      </c>
      <c r="M61" s="285">
        <f>1.5*0.68*1.35</f>
        <v>1.3770000000000002</v>
      </c>
    </row>
    <row r="62" spans="1:17" s="47" customFormat="1" ht="18" customHeight="1" thickBot="1" x14ac:dyDescent="0.3">
      <c r="A62" s="18"/>
      <c r="B62" s="84" t="s">
        <v>431</v>
      </c>
      <c r="C62" s="76" t="s">
        <v>432</v>
      </c>
      <c r="D62" s="77">
        <v>100</v>
      </c>
      <c r="E62" s="76">
        <v>800</v>
      </c>
      <c r="F62" s="77">
        <v>20</v>
      </c>
      <c r="G62" s="92" t="s">
        <v>430</v>
      </c>
      <c r="H62" s="192" t="s">
        <v>1218</v>
      </c>
      <c r="I62" s="247" t="s">
        <v>28</v>
      </c>
      <c r="J62" s="228" t="s">
        <v>24</v>
      </c>
      <c r="K62" s="81">
        <v>1450</v>
      </c>
      <c r="L62" s="81">
        <v>50</v>
      </c>
      <c r="M62" s="285">
        <f>1.5*0.68*1.35</f>
        <v>1.3770000000000002</v>
      </c>
    </row>
    <row r="63" spans="1:17" s="1" customFormat="1" ht="8.25" customHeight="1" thickBot="1" x14ac:dyDescent="0.3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7" s="1" customFormat="1" ht="15" customHeight="1" x14ac:dyDescent="0.25">
      <c r="B64" s="375" t="s">
        <v>32</v>
      </c>
      <c r="C64" s="376"/>
      <c r="D64" s="44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217"/>
      <c r="O64" s="217"/>
      <c r="P64" s="217"/>
      <c r="Q64" s="217"/>
    </row>
    <row r="65" spans="2:17" s="217" customFormat="1" ht="15" customHeight="1" x14ac:dyDescent="0.25">
      <c r="B65" s="364" t="s">
        <v>308</v>
      </c>
      <c r="C65" s="365"/>
      <c r="D65" s="50" t="s">
        <v>701</v>
      </c>
      <c r="E65" s="51"/>
      <c r="F65" s="51"/>
      <c r="G65" s="51"/>
      <c r="H65" s="51"/>
      <c r="I65" s="51"/>
      <c r="J65" s="51"/>
      <c r="K65" s="51"/>
      <c r="L65" s="51"/>
      <c r="M65" s="51"/>
    </row>
    <row r="66" spans="2:17" s="217" customFormat="1" ht="15" customHeight="1" x14ac:dyDescent="0.25">
      <c r="B66" s="366" t="s">
        <v>702</v>
      </c>
      <c r="C66" s="367"/>
      <c r="D66" s="50" t="s">
        <v>703</v>
      </c>
      <c r="E66" s="54"/>
      <c r="F66" s="54"/>
      <c r="G66" s="54"/>
      <c r="H66" s="54"/>
      <c r="I66" s="54"/>
      <c r="J66" s="54"/>
      <c r="K66" s="54"/>
      <c r="L66" s="54"/>
      <c r="M66" s="54"/>
    </row>
    <row r="67" spans="2:17" s="1" customFormat="1" ht="15" customHeight="1" x14ac:dyDescent="0.25">
      <c r="B67" s="323" t="s">
        <v>365</v>
      </c>
      <c r="C67" s="373"/>
      <c r="D67" s="49" t="s">
        <v>1298</v>
      </c>
      <c r="E67" s="50"/>
      <c r="F67" s="50"/>
      <c r="G67" s="51"/>
      <c r="H67" s="51"/>
      <c r="I67" s="51"/>
      <c r="J67" s="51"/>
      <c r="K67" s="51"/>
      <c r="L67" s="51"/>
      <c r="M67" s="51"/>
      <c r="N67" s="217"/>
      <c r="O67" s="217"/>
      <c r="P67" s="217"/>
      <c r="Q67" s="217"/>
    </row>
    <row r="68" spans="2:17" s="217" customFormat="1" ht="15" customHeight="1" x14ac:dyDescent="0.25">
      <c r="B68" s="323" t="s">
        <v>364</v>
      </c>
      <c r="C68" s="373"/>
      <c r="D68" s="50" t="s">
        <v>1309</v>
      </c>
      <c r="E68" s="50"/>
      <c r="F68" s="50"/>
      <c r="G68" s="51"/>
      <c r="H68" s="51"/>
      <c r="I68" s="51"/>
      <c r="J68" s="51"/>
      <c r="K68" s="51"/>
      <c r="L68" s="51"/>
      <c r="M68" s="51"/>
    </row>
    <row r="69" spans="2:17" s="217" customFormat="1" ht="15" customHeight="1" x14ac:dyDescent="0.25">
      <c r="B69" s="360" t="s">
        <v>704</v>
      </c>
      <c r="C69" s="361"/>
      <c r="D69" s="281" t="s">
        <v>1299</v>
      </c>
      <c r="E69" s="284"/>
      <c r="F69" s="50"/>
      <c r="G69" s="51"/>
      <c r="H69" s="51"/>
      <c r="I69" s="51"/>
      <c r="J69" s="51"/>
      <c r="K69" s="51"/>
      <c r="L69" s="51"/>
      <c r="M69" s="51"/>
    </row>
    <row r="70" spans="2:17" s="217" customFormat="1" ht="15" customHeight="1" x14ac:dyDescent="0.25">
      <c r="B70" s="360" t="s">
        <v>1300</v>
      </c>
      <c r="C70" s="361"/>
      <c r="D70" s="286" t="s">
        <v>1301</v>
      </c>
      <c r="E70" s="284"/>
      <c r="F70" s="50"/>
      <c r="G70" s="51"/>
      <c r="H70" s="51"/>
      <c r="I70" s="51"/>
      <c r="J70" s="51"/>
      <c r="K70" s="51"/>
      <c r="L70" s="51"/>
      <c r="M70" s="51"/>
    </row>
    <row r="71" spans="2:17" s="217" customFormat="1" ht="15" customHeight="1" x14ac:dyDescent="0.25">
      <c r="B71" s="360" t="s">
        <v>1302</v>
      </c>
      <c r="C71" s="361"/>
      <c r="D71" s="287" t="s">
        <v>1303</v>
      </c>
      <c r="E71" s="284"/>
      <c r="F71" s="50"/>
      <c r="G71" s="51"/>
      <c r="H71" s="51"/>
      <c r="I71" s="51"/>
      <c r="J71" s="51"/>
      <c r="K71" s="51"/>
      <c r="L71" s="51"/>
      <c r="M71" s="51"/>
    </row>
    <row r="72" spans="2:17" s="292" customFormat="1" ht="15" customHeight="1" x14ac:dyDescent="0.25">
      <c r="B72" s="360" t="s">
        <v>36</v>
      </c>
      <c r="C72" s="361"/>
      <c r="D72" s="287" t="s">
        <v>1406</v>
      </c>
      <c r="E72" s="284"/>
      <c r="F72" s="50"/>
      <c r="G72" s="51"/>
      <c r="H72" s="51"/>
      <c r="I72" s="51"/>
      <c r="J72" s="51"/>
      <c r="K72" s="51"/>
      <c r="L72" s="51"/>
      <c r="M72" s="51"/>
    </row>
  </sheetData>
  <mergeCells count="19">
    <mergeCell ref="B68:C68"/>
    <mergeCell ref="B69:C69"/>
    <mergeCell ref="B65:C65"/>
    <mergeCell ref="B72:C72"/>
    <mergeCell ref="H8:I8"/>
    <mergeCell ref="B64:C64"/>
    <mergeCell ref="B70:C70"/>
    <mergeCell ref="B71:C71"/>
    <mergeCell ref="B66:C66"/>
    <mergeCell ref="B67:C67"/>
    <mergeCell ref="J8:J10"/>
    <mergeCell ref="K8:K9"/>
    <mergeCell ref="B6:M6"/>
    <mergeCell ref="L8:L10"/>
    <mergeCell ref="M8:M9"/>
    <mergeCell ref="H9:I9"/>
    <mergeCell ref="B8:B10"/>
    <mergeCell ref="C8:D9"/>
    <mergeCell ref="E8:F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7"/>
  <sheetViews>
    <sheetView topLeftCell="A7" zoomScaleNormal="100" workbookViewId="0">
      <selection activeCell="I25" sqref="I25"/>
    </sheetView>
  </sheetViews>
  <sheetFormatPr defaultRowHeight="15" x14ac:dyDescent="0.25"/>
  <cols>
    <col min="1" max="1" width="34.28515625" style="153" customWidth="1"/>
    <col min="2" max="2" width="28.5703125" style="153" customWidth="1"/>
    <col min="3" max="4" width="12" style="153" customWidth="1"/>
    <col min="5" max="6" width="8.5703125" style="153" customWidth="1"/>
    <col min="7" max="7" width="10.28515625" style="153" customWidth="1"/>
    <col min="8" max="8" width="14.28515625" style="153" customWidth="1"/>
    <col min="9" max="9" width="10.85546875" style="153" customWidth="1"/>
    <col min="10" max="10" width="14.28515625" style="153" customWidth="1"/>
    <col min="11" max="11" width="10.85546875" style="153" customWidth="1"/>
    <col min="12" max="12" width="14.28515625" style="153" customWidth="1"/>
    <col min="13" max="16" width="10.85546875" style="153" customWidth="1"/>
    <col min="17" max="258" width="9.140625" style="123"/>
    <col min="259" max="259" width="34.28515625" style="123" customWidth="1"/>
    <col min="260" max="260" width="25.7109375" style="123" customWidth="1"/>
    <col min="261" max="262" width="12" style="123" customWidth="1"/>
    <col min="263" max="264" width="8.5703125" style="123" customWidth="1"/>
    <col min="265" max="265" width="10.28515625" style="123" customWidth="1"/>
    <col min="266" max="267" width="10.85546875" style="123" customWidth="1"/>
    <col min="268" max="271" width="10.28515625" style="123" customWidth="1"/>
    <col min="272" max="272" width="9.140625" style="123"/>
    <col min="273" max="273" width="10.140625" style="123" customWidth="1"/>
    <col min="274" max="514" width="9.140625" style="123"/>
    <col min="515" max="515" width="34.28515625" style="123" customWidth="1"/>
    <col min="516" max="516" width="25.7109375" style="123" customWidth="1"/>
    <col min="517" max="518" width="12" style="123" customWidth="1"/>
    <col min="519" max="520" width="8.5703125" style="123" customWidth="1"/>
    <col min="521" max="521" width="10.28515625" style="123" customWidth="1"/>
    <col min="522" max="523" width="10.85546875" style="123" customWidth="1"/>
    <col min="524" max="527" width="10.28515625" style="123" customWidth="1"/>
    <col min="528" max="528" width="9.140625" style="123"/>
    <col min="529" max="529" width="10.140625" style="123" customWidth="1"/>
    <col min="530" max="770" width="9.140625" style="123"/>
    <col min="771" max="771" width="34.28515625" style="123" customWidth="1"/>
    <col min="772" max="772" width="25.7109375" style="123" customWidth="1"/>
    <col min="773" max="774" width="12" style="123" customWidth="1"/>
    <col min="775" max="776" width="8.5703125" style="123" customWidth="1"/>
    <col min="777" max="777" width="10.28515625" style="123" customWidth="1"/>
    <col min="778" max="779" width="10.85546875" style="123" customWidth="1"/>
    <col min="780" max="783" width="10.28515625" style="123" customWidth="1"/>
    <col min="784" max="784" width="9.140625" style="123"/>
    <col min="785" max="785" width="10.14062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0" width="12" style="123" customWidth="1"/>
    <col min="1031" max="1032" width="8.5703125" style="123" customWidth="1"/>
    <col min="1033" max="1033" width="10.28515625" style="123" customWidth="1"/>
    <col min="1034" max="1035" width="10.85546875" style="123" customWidth="1"/>
    <col min="1036" max="1039" width="10.28515625" style="123" customWidth="1"/>
    <col min="1040" max="1040" width="9.140625" style="123"/>
    <col min="1041" max="1041" width="10.14062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86" width="12" style="123" customWidth="1"/>
    <col min="1287" max="1288" width="8.5703125" style="123" customWidth="1"/>
    <col min="1289" max="1289" width="10.28515625" style="123" customWidth="1"/>
    <col min="1290" max="1291" width="10.85546875" style="123" customWidth="1"/>
    <col min="1292" max="1295" width="10.28515625" style="123" customWidth="1"/>
    <col min="1296" max="1296" width="9.140625" style="123"/>
    <col min="1297" max="1297" width="10.14062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2" width="12" style="123" customWidth="1"/>
    <col min="1543" max="1544" width="8.5703125" style="123" customWidth="1"/>
    <col min="1545" max="1545" width="10.28515625" style="123" customWidth="1"/>
    <col min="1546" max="1547" width="10.85546875" style="123" customWidth="1"/>
    <col min="1548" max="1551" width="10.28515625" style="123" customWidth="1"/>
    <col min="1552" max="1552" width="9.140625" style="123"/>
    <col min="1553" max="1553" width="10.14062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798" width="12" style="123" customWidth="1"/>
    <col min="1799" max="1800" width="8.5703125" style="123" customWidth="1"/>
    <col min="1801" max="1801" width="10.28515625" style="123" customWidth="1"/>
    <col min="1802" max="1803" width="10.85546875" style="123" customWidth="1"/>
    <col min="1804" max="1807" width="10.28515625" style="123" customWidth="1"/>
    <col min="1808" max="1808" width="9.140625" style="123"/>
    <col min="1809" max="1809" width="10.14062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4" width="12" style="123" customWidth="1"/>
    <col min="2055" max="2056" width="8.5703125" style="123" customWidth="1"/>
    <col min="2057" max="2057" width="10.28515625" style="123" customWidth="1"/>
    <col min="2058" max="2059" width="10.85546875" style="123" customWidth="1"/>
    <col min="2060" max="2063" width="10.28515625" style="123" customWidth="1"/>
    <col min="2064" max="2064" width="9.140625" style="123"/>
    <col min="2065" max="2065" width="10.14062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0" width="12" style="123" customWidth="1"/>
    <col min="2311" max="2312" width="8.5703125" style="123" customWidth="1"/>
    <col min="2313" max="2313" width="10.28515625" style="123" customWidth="1"/>
    <col min="2314" max="2315" width="10.85546875" style="123" customWidth="1"/>
    <col min="2316" max="2319" width="10.28515625" style="123" customWidth="1"/>
    <col min="2320" max="2320" width="9.140625" style="123"/>
    <col min="2321" max="2321" width="10.14062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66" width="12" style="123" customWidth="1"/>
    <col min="2567" max="2568" width="8.5703125" style="123" customWidth="1"/>
    <col min="2569" max="2569" width="10.28515625" style="123" customWidth="1"/>
    <col min="2570" max="2571" width="10.85546875" style="123" customWidth="1"/>
    <col min="2572" max="2575" width="10.28515625" style="123" customWidth="1"/>
    <col min="2576" max="2576" width="9.140625" style="123"/>
    <col min="2577" max="2577" width="10.14062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2" width="12" style="123" customWidth="1"/>
    <col min="2823" max="2824" width="8.5703125" style="123" customWidth="1"/>
    <col min="2825" max="2825" width="10.28515625" style="123" customWidth="1"/>
    <col min="2826" max="2827" width="10.85546875" style="123" customWidth="1"/>
    <col min="2828" max="2831" width="10.28515625" style="123" customWidth="1"/>
    <col min="2832" max="2832" width="9.140625" style="123"/>
    <col min="2833" max="2833" width="10.14062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78" width="12" style="123" customWidth="1"/>
    <col min="3079" max="3080" width="8.5703125" style="123" customWidth="1"/>
    <col min="3081" max="3081" width="10.28515625" style="123" customWidth="1"/>
    <col min="3082" max="3083" width="10.85546875" style="123" customWidth="1"/>
    <col min="3084" max="3087" width="10.28515625" style="123" customWidth="1"/>
    <col min="3088" max="3088" width="9.140625" style="123"/>
    <col min="3089" max="3089" width="10.14062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4" width="12" style="123" customWidth="1"/>
    <col min="3335" max="3336" width="8.5703125" style="123" customWidth="1"/>
    <col min="3337" max="3337" width="10.28515625" style="123" customWidth="1"/>
    <col min="3338" max="3339" width="10.85546875" style="123" customWidth="1"/>
    <col min="3340" max="3343" width="10.28515625" style="123" customWidth="1"/>
    <col min="3344" max="3344" width="9.140625" style="123"/>
    <col min="3345" max="3345" width="10.14062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0" width="12" style="123" customWidth="1"/>
    <col min="3591" max="3592" width="8.5703125" style="123" customWidth="1"/>
    <col min="3593" max="3593" width="10.28515625" style="123" customWidth="1"/>
    <col min="3594" max="3595" width="10.85546875" style="123" customWidth="1"/>
    <col min="3596" max="3599" width="10.28515625" style="123" customWidth="1"/>
    <col min="3600" max="3600" width="9.140625" style="123"/>
    <col min="3601" max="3601" width="10.14062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46" width="12" style="123" customWidth="1"/>
    <col min="3847" max="3848" width="8.5703125" style="123" customWidth="1"/>
    <col min="3849" max="3849" width="10.28515625" style="123" customWidth="1"/>
    <col min="3850" max="3851" width="10.85546875" style="123" customWidth="1"/>
    <col min="3852" max="3855" width="10.28515625" style="123" customWidth="1"/>
    <col min="3856" max="3856" width="9.140625" style="123"/>
    <col min="3857" max="3857" width="10.14062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2" width="12" style="123" customWidth="1"/>
    <col min="4103" max="4104" width="8.5703125" style="123" customWidth="1"/>
    <col min="4105" max="4105" width="10.28515625" style="123" customWidth="1"/>
    <col min="4106" max="4107" width="10.85546875" style="123" customWidth="1"/>
    <col min="4108" max="4111" width="10.28515625" style="123" customWidth="1"/>
    <col min="4112" max="4112" width="9.140625" style="123"/>
    <col min="4113" max="4113" width="10.14062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58" width="12" style="123" customWidth="1"/>
    <col min="4359" max="4360" width="8.5703125" style="123" customWidth="1"/>
    <col min="4361" max="4361" width="10.28515625" style="123" customWidth="1"/>
    <col min="4362" max="4363" width="10.85546875" style="123" customWidth="1"/>
    <col min="4364" max="4367" width="10.28515625" style="123" customWidth="1"/>
    <col min="4368" max="4368" width="9.140625" style="123"/>
    <col min="4369" max="4369" width="10.14062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4" width="12" style="123" customWidth="1"/>
    <col min="4615" max="4616" width="8.5703125" style="123" customWidth="1"/>
    <col min="4617" max="4617" width="10.28515625" style="123" customWidth="1"/>
    <col min="4618" max="4619" width="10.85546875" style="123" customWidth="1"/>
    <col min="4620" max="4623" width="10.28515625" style="123" customWidth="1"/>
    <col min="4624" max="4624" width="9.140625" style="123"/>
    <col min="4625" max="4625" width="10.14062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0" width="12" style="123" customWidth="1"/>
    <col min="4871" max="4872" width="8.5703125" style="123" customWidth="1"/>
    <col min="4873" max="4873" width="10.28515625" style="123" customWidth="1"/>
    <col min="4874" max="4875" width="10.85546875" style="123" customWidth="1"/>
    <col min="4876" max="4879" width="10.28515625" style="123" customWidth="1"/>
    <col min="4880" max="4880" width="9.140625" style="123"/>
    <col min="4881" max="4881" width="10.14062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26" width="12" style="123" customWidth="1"/>
    <col min="5127" max="5128" width="8.5703125" style="123" customWidth="1"/>
    <col min="5129" max="5129" width="10.28515625" style="123" customWidth="1"/>
    <col min="5130" max="5131" width="10.85546875" style="123" customWidth="1"/>
    <col min="5132" max="5135" width="10.28515625" style="123" customWidth="1"/>
    <col min="5136" max="5136" width="9.140625" style="123"/>
    <col min="5137" max="5137" width="10.14062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2" width="12" style="123" customWidth="1"/>
    <col min="5383" max="5384" width="8.5703125" style="123" customWidth="1"/>
    <col min="5385" max="5385" width="10.28515625" style="123" customWidth="1"/>
    <col min="5386" max="5387" width="10.85546875" style="123" customWidth="1"/>
    <col min="5388" max="5391" width="10.28515625" style="123" customWidth="1"/>
    <col min="5392" max="5392" width="9.140625" style="123"/>
    <col min="5393" max="5393" width="10.14062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38" width="12" style="123" customWidth="1"/>
    <col min="5639" max="5640" width="8.5703125" style="123" customWidth="1"/>
    <col min="5641" max="5641" width="10.28515625" style="123" customWidth="1"/>
    <col min="5642" max="5643" width="10.85546875" style="123" customWidth="1"/>
    <col min="5644" max="5647" width="10.28515625" style="123" customWidth="1"/>
    <col min="5648" max="5648" width="9.140625" style="123"/>
    <col min="5649" max="5649" width="10.14062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4" width="12" style="123" customWidth="1"/>
    <col min="5895" max="5896" width="8.5703125" style="123" customWidth="1"/>
    <col min="5897" max="5897" width="10.28515625" style="123" customWidth="1"/>
    <col min="5898" max="5899" width="10.85546875" style="123" customWidth="1"/>
    <col min="5900" max="5903" width="10.28515625" style="123" customWidth="1"/>
    <col min="5904" max="5904" width="9.140625" style="123"/>
    <col min="5905" max="5905" width="10.14062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0" width="12" style="123" customWidth="1"/>
    <col min="6151" max="6152" width="8.5703125" style="123" customWidth="1"/>
    <col min="6153" max="6153" width="10.28515625" style="123" customWidth="1"/>
    <col min="6154" max="6155" width="10.85546875" style="123" customWidth="1"/>
    <col min="6156" max="6159" width="10.28515625" style="123" customWidth="1"/>
    <col min="6160" max="6160" width="9.140625" style="123"/>
    <col min="6161" max="6161" width="10.14062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06" width="12" style="123" customWidth="1"/>
    <col min="6407" max="6408" width="8.5703125" style="123" customWidth="1"/>
    <col min="6409" max="6409" width="10.28515625" style="123" customWidth="1"/>
    <col min="6410" max="6411" width="10.85546875" style="123" customWidth="1"/>
    <col min="6412" max="6415" width="10.28515625" style="123" customWidth="1"/>
    <col min="6416" max="6416" width="9.140625" style="123"/>
    <col min="6417" max="6417" width="10.14062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2" width="12" style="123" customWidth="1"/>
    <col min="6663" max="6664" width="8.5703125" style="123" customWidth="1"/>
    <col min="6665" max="6665" width="10.28515625" style="123" customWidth="1"/>
    <col min="6666" max="6667" width="10.85546875" style="123" customWidth="1"/>
    <col min="6668" max="6671" width="10.28515625" style="123" customWidth="1"/>
    <col min="6672" max="6672" width="9.140625" style="123"/>
    <col min="6673" max="6673" width="10.14062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18" width="12" style="123" customWidth="1"/>
    <col min="6919" max="6920" width="8.5703125" style="123" customWidth="1"/>
    <col min="6921" max="6921" width="10.28515625" style="123" customWidth="1"/>
    <col min="6922" max="6923" width="10.85546875" style="123" customWidth="1"/>
    <col min="6924" max="6927" width="10.28515625" style="123" customWidth="1"/>
    <col min="6928" max="6928" width="9.140625" style="123"/>
    <col min="6929" max="6929" width="10.14062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4" width="12" style="123" customWidth="1"/>
    <col min="7175" max="7176" width="8.5703125" style="123" customWidth="1"/>
    <col min="7177" max="7177" width="10.28515625" style="123" customWidth="1"/>
    <col min="7178" max="7179" width="10.85546875" style="123" customWidth="1"/>
    <col min="7180" max="7183" width="10.28515625" style="123" customWidth="1"/>
    <col min="7184" max="7184" width="9.140625" style="123"/>
    <col min="7185" max="7185" width="10.14062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0" width="12" style="123" customWidth="1"/>
    <col min="7431" max="7432" width="8.5703125" style="123" customWidth="1"/>
    <col min="7433" max="7433" width="10.28515625" style="123" customWidth="1"/>
    <col min="7434" max="7435" width="10.85546875" style="123" customWidth="1"/>
    <col min="7436" max="7439" width="10.28515625" style="123" customWidth="1"/>
    <col min="7440" max="7440" width="9.140625" style="123"/>
    <col min="7441" max="7441" width="10.14062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86" width="12" style="123" customWidth="1"/>
    <col min="7687" max="7688" width="8.5703125" style="123" customWidth="1"/>
    <col min="7689" max="7689" width="10.28515625" style="123" customWidth="1"/>
    <col min="7690" max="7691" width="10.85546875" style="123" customWidth="1"/>
    <col min="7692" max="7695" width="10.28515625" style="123" customWidth="1"/>
    <col min="7696" max="7696" width="9.140625" style="123"/>
    <col min="7697" max="7697" width="10.14062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2" width="12" style="123" customWidth="1"/>
    <col min="7943" max="7944" width="8.5703125" style="123" customWidth="1"/>
    <col min="7945" max="7945" width="10.28515625" style="123" customWidth="1"/>
    <col min="7946" max="7947" width="10.85546875" style="123" customWidth="1"/>
    <col min="7948" max="7951" width="10.28515625" style="123" customWidth="1"/>
    <col min="7952" max="7952" width="9.140625" style="123"/>
    <col min="7953" max="7953" width="10.14062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198" width="12" style="123" customWidth="1"/>
    <col min="8199" max="8200" width="8.5703125" style="123" customWidth="1"/>
    <col min="8201" max="8201" width="10.28515625" style="123" customWidth="1"/>
    <col min="8202" max="8203" width="10.85546875" style="123" customWidth="1"/>
    <col min="8204" max="8207" width="10.28515625" style="123" customWidth="1"/>
    <col min="8208" max="8208" width="9.140625" style="123"/>
    <col min="8209" max="8209" width="10.14062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4" width="12" style="123" customWidth="1"/>
    <col min="8455" max="8456" width="8.5703125" style="123" customWidth="1"/>
    <col min="8457" max="8457" width="10.28515625" style="123" customWidth="1"/>
    <col min="8458" max="8459" width="10.85546875" style="123" customWidth="1"/>
    <col min="8460" max="8463" width="10.28515625" style="123" customWidth="1"/>
    <col min="8464" max="8464" width="9.140625" style="123"/>
    <col min="8465" max="8465" width="10.14062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0" width="12" style="123" customWidth="1"/>
    <col min="8711" max="8712" width="8.5703125" style="123" customWidth="1"/>
    <col min="8713" max="8713" width="10.28515625" style="123" customWidth="1"/>
    <col min="8714" max="8715" width="10.85546875" style="123" customWidth="1"/>
    <col min="8716" max="8719" width="10.28515625" style="123" customWidth="1"/>
    <col min="8720" max="8720" width="9.140625" style="123"/>
    <col min="8721" max="8721" width="10.14062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66" width="12" style="123" customWidth="1"/>
    <col min="8967" max="8968" width="8.5703125" style="123" customWidth="1"/>
    <col min="8969" max="8969" width="10.28515625" style="123" customWidth="1"/>
    <col min="8970" max="8971" width="10.85546875" style="123" customWidth="1"/>
    <col min="8972" max="8975" width="10.28515625" style="123" customWidth="1"/>
    <col min="8976" max="8976" width="9.140625" style="123"/>
    <col min="8977" max="8977" width="10.14062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2" width="12" style="123" customWidth="1"/>
    <col min="9223" max="9224" width="8.5703125" style="123" customWidth="1"/>
    <col min="9225" max="9225" width="10.28515625" style="123" customWidth="1"/>
    <col min="9226" max="9227" width="10.85546875" style="123" customWidth="1"/>
    <col min="9228" max="9231" width="10.28515625" style="123" customWidth="1"/>
    <col min="9232" max="9232" width="9.140625" style="123"/>
    <col min="9233" max="9233" width="10.14062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78" width="12" style="123" customWidth="1"/>
    <col min="9479" max="9480" width="8.5703125" style="123" customWidth="1"/>
    <col min="9481" max="9481" width="10.28515625" style="123" customWidth="1"/>
    <col min="9482" max="9483" width="10.85546875" style="123" customWidth="1"/>
    <col min="9484" max="9487" width="10.28515625" style="123" customWidth="1"/>
    <col min="9488" max="9488" width="9.140625" style="123"/>
    <col min="9489" max="9489" width="10.14062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4" width="12" style="123" customWidth="1"/>
    <col min="9735" max="9736" width="8.5703125" style="123" customWidth="1"/>
    <col min="9737" max="9737" width="10.28515625" style="123" customWidth="1"/>
    <col min="9738" max="9739" width="10.85546875" style="123" customWidth="1"/>
    <col min="9740" max="9743" width="10.28515625" style="123" customWidth="1"/>
    <col min="9744" max="9744" width="9.140625" style="123"/>
    <col min="9745" max="9745" width="10.14062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0" width="12" style="123" customWidth="1"/>
    <col min="9991" max="9992" width="8.5703125" style="123" customWidth="1"/>
    <col min="9993" max="9993" width="10.28515625" style="123" customWidth="1"/>
    <col min="9994" max="9995" width="10.85546875" style="123" customWidth="1"/>
    <col min="9996" max="9999" width="10.28515625" style="123" customWidth="1"/>
    <col min="10000" max="10000" width="9.140625" style="123"/>
    <col min="10001" max="10001" width="10.14062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46" width="12" style="123" customWidth="1"/>
    <col min="10247" max="10248" width="8.5703125" style="123" customWidth="1"/>
    <col min="10249" max="10249" width="10.28515625" style="123" customWidth="1"/>
    <col min="10250" max="10251" width="10.85546875" style="123" customWidth="1"/>
    <col min="10252" max="10255" width="10.28515625" style="123" customWidth="1"/>
    <col min="10256" max="10256" width="9.140625" style="123"/>
    <col min="10257" max="10257" width="10.14062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2" width="12" style="123" customWidth="1"/>
    <col min="10503" max="10504" width="8.5703125" style="123" customWidth="1"/>
    <col min="10505" max="10505" width="10.28515625" style="123" customWidth="1"/>
    <col min="10506" max="10507" width="10.85546875" style="123" customWidth="1"/>
    <col min="10508" max="10511" width="10.28515625" style="123" customWidth="1"/>
    <col min="10512" max="10512" width="9.140625" style="123"/>
    <col min="10513" max="10513" width="10.14062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58" width="12" style="123" customWidth="1"/>
    <col min="10759" max="10760" width="8.5703125" style="123" customWidth="1"/>
    <col min="10761" max="10761" width="10.28515625" style="123" customWidth="1"/>
    <col min="10762" max="10763" width="10.85546875" style="123" customWidth="1"/>
    <col min="10764" max="10767" width="10.28515625" style="123" customWidth="1"/>
    <col min="10768" max="10768" width="9.140625" style="123"/>
    <col min="10769" max="10769" width="10.14062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4" width="12" style="123" customWidth="1"/>
    <col min="11015" max="11016" width="8.5703125" style="123" customWidth="1"/>
    <col min="11017" max="11017" width="10.28515625" style="123" customWidth="1"/>
    <col min="11018" max="11019" width="10.85546875" style="123" customWidth="1"/>
    <col min="11020" max="11023" width="10.28515625" style="123" customWidth="1"/>
    <col min="11024" max="11024" width="9.140625" style="123"/>
    <col min="11025" max="11025" width="10.14062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0" width="12" style="123" customWidth="1"/>
    <col min="11271" max="11272" width="8.5703125" style="123" customWidth="1"/>
    <col min="11273" max="11273" width="10.28515625" style="123" customWidth="1"/>
    <col min="11274" max="11275" width="10.85546875" style="123" customWidth="1"/>
    <col min="11276" max="11279" width="10.28515625" style="123" customWidth="1"/>
    <col min="11280" max="11280" width="9.140625" style="123"/>
    <col min="11281" max="11281" width="10.14062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26" width="12" style="123" customWidth="1"/>
    <col min="11527" max="11528" width="8.5703125" style="123" customWidth="1"/>
    <col min="11529" max="11529" width="10.28515625" style="123" customWidth="1"/>
    <col min="11530" max="11531" width="10.85546875" style="123" customWidth="1"/>
    <col min="11532" max="11535" width="10.28515625" style="123" customWidth="1"/>
    <col min="11536" max="11536" width="9.140625" style="123"/>
    <col min="11537" max="11537" width="10.14062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2" width="12" style="123" customWidth="1"/>
    <col min="11783" max="11784" width="8.5703125" style="123" customWidth="1"/>
    <col min="11785" max="11785" width="10.28515625" style="123" customWidth="1"/>
    <col min="11786" max="11787" width="10.85546875" style="123" customWidth="1"/>
    <col min="11788" max="11791" width="10.28515625" style="123" customWidth="1"/>
    <col min="11792" max="11792" width="9.140625" style="123"/>
    <col min="11793" max="11793" width="10.14062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38" width="12" style="123" customWidth="1"/>
    <col min="12039" max="12040" width="8.5703125" style="123" customWidth="1"/>
    <col min="12041" max="12041" width="10.28515625" style="123" customWidth="1"/>
    <col min="12042" max="12043" width="10.85546875" style="123" customWidth="1"/>
    <col min="12044" max="12047" width="10.28515625" style="123" customWidth="1"/>
    <col min="12048" max="12048" width="9.140625" style="123"/>
    <col min="12049" max="12049" width="10.14062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4" width="12" style="123" customWidth="1"/>
    <col min="12295" max="12296" width="8.5703125" style="123" customWidth="1"/>
    <col min="12297" max="12297" width="10.28515625" style="123" customWidth="1"/>
    <col min="12298" max="12299" width="10.85546875" style="123" customWidth="1"/>
    <col min="12300" max="12303" width="10.28515625" style="123" customWidth="1"/>
    <col min="12304" max="12304" width="9.140625" style="123"/>
    <col min="12305" max="12305" width="10.14062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0" width="12" style="123" customWidth="1"/>
    <col min="12551" max="12552" width="8.5703125" style="123" customWidth="1"/>
    <col min="12553" max="12553" width="10.28515625" style="123" customWidth="1"/>
    <col min="12554" max="12555" width="10.85546875" style="123" customWidth="1"/>
    <col min="12556" max="12559" width="10.28515625" style="123" customWidth="1"/>
    <col min="12560" max="12560" width="9.140625" style="123"/>
    <col min="12561" max="12561" width="10.14062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06" width="12" style="123" customWidth="1"/>
    <col min="12807" max="12808" width="8.5703125" style="123" customWidth="1"/>
    <col min="12809" max="12809" width="10.28515625" style="123" customWidth="1"/>
    <col min="12810" max="12811" width="10.85546875" style="123" customWidth="1"/>
    <col min="12812" max="12815" width="10.28515625" style="123" customWidth="1"/>
    <col min="12816" max="12816" width="9.140625" style="123"/>
    <col min="12817" max="12817" width="10.14062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2" width="12" style="123" customWidth="1"/>
    <col min="13063" max="13064" width="8.5703125" style="123" customWidth="1"/>
    <col min="13065" max="13065" width="10.28515625" style="123" customWidth="1"/>
    <col min="13066" max="13067" width="10.85546875" style="123" customWidth="1"/>
    <col min="13068" max="13071" width="10.28515625" style="123" customWidth="1"/>
    <col min="13072" max="13072" width="9.140625" style="123"/>
    <col min="13073" max="13073" width="10.14062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18" width="12" style="123" customWidth="1"/>
    <col min="13319" max="13320" width="8.5703125" style="123" customWidth="1"/>
    <col min="13321" max="13321" width="10.28515625" style="123" customWidth="1"/>
    <col min="13322" max="13323" width="10.85546875" style="123" customWidth="1"/>
    <col min="13324" max="13327" width="10.28515625" style="123" customWidth="1"/>
    <col min="13328" max="13328" width="9.140625" style="123"/>
    <col min="13329" max="13329" width="10.14062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4" width="12" style="123" customWidth="1"/>
    <col min="13575" max="13576" width="8.5703125" style="123" customWidth="1"/>
    <col min="13577" max="13577" width="10.28515625" style="123" customWidth="1"/>
    <col min="13578" max="13579" width="10.85546875" style="123" customWidth="1"/>
    <col min="13580" max="13583" width="10.28515625" style="123" customWidth="1"/>
    <col min="13584" max="13584" width="9.140625" style="123"/>
    <col min="13585" max="13585" width="10.14062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0" width="12" style="123" customWidth="1"/>
    <col min="13831" max="13832" width="8.5703125" style="123" customWidth="1"/>
    <col min="13833" max="13833" width="10.28515625" style="123" customWidth="1"/>
    <col min="13834" max="13835" width="10.85546875" style="123" customWidth="1"/>
    <col min="13836" max="13839" width="10.28515625" style="123" customWidth="1"/>
    <col min="13840" max="13840" width="9.140625" style="123"/>
    <col min="13841" max="13841" width="10.14062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86" width="12" style="123" customWidth="1"/>
    <col min="14087" max="14088" width="8.5703125" style="123" customWidth="1"/>
    <col min="14089" max="14089" width="10.28515625" style="123" customWidth="1"/>
    <col min="14090" max="14091" width="10.85546875" style="123" customWidth="1"/>
    <col min="14092" max="14095" width="10.28515625" style="123" customWidth="1"/>
    <col min="14096" max="14096" width="9.140625" style="123"/>
    <col min="14097" max="14097" width="10.14062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2" width="12" style="123" customWidth="1"/>
    <col min="14343" max="14344" width="8.5703125" style="123" customWidth="1"/>
    <col min="14345" max="14345" width="10.28515625" style="123" customWidth="1"/>
    <col min="14346" max="14347" width="10.85546875" style="123" customWidth="1"/>
    <col min="14348" max="14351" width="10.28515625" style="123" customWidth="1"/>
    <col min="14352" max="14352" width="9.140625" style="123"/>
    <col min="14353" max="14353" width="10.14062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598" width="12" style="123" customWidth="1"/>
    <col min="14599" max="14600" width="8.5703125" style="123" customWidth="1"/>
    <col min="14601" max="14601" width="10.28515625" style="123" customWidth="1"/>
    <col min="14602" max="14603" width="10.85546875" style="123" customWidth="1"/>
    <col min="14604" max="14607" width="10.28515625" style="123" customWidth="1"/>
    <col min="14608" max="14608" width="9.140625" style="123"/>
    <col min="14609" max="14609" width="10.14062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4" width="12" style="123" customWidth="1"/>
    <col min="14855" max="14856" width="8.5703125" style="123" customWidth="1"/>
    <col min="14857" max="14857" width="10.28515625" style="123" customWidth="1"/>
    <col min="14858" max="14859" width="10.85546875" style="123" customWidth="1"/>
    <col min="14860" max="14863" width="10.28515625" style="123" customWidth="1"/>
    <col min="14864" max="14864" width="9.140625" style="123"/>
    <col min="14865" max="14865" width="10.14062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0" width="12" style="123" customWidth="1"/>
    <col min="15111" max="15112" width="8.5703125" style="123" customWidth="1"/>
    <col min="15113" max="15113" width="10.28515625" style="123" customWidth="1"/>
    <col min="15114" max="15115" width="10.85546875" style="123" customWidth="1"/>
    <col min="15116" max="15119" width="10.28515625" style="123" customWidth="1"/>
    <col min="15120" max="15120" width="9.140625" style="123"/>
    <col min="15121" max="15121" width="10.14062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66" width="12" style="123" customWidth="1"/>
    <col min="15367" max="15368" width="8.5703125" style="123" customWidth="1"/>
    <col min="15369" max="15369" width="10.28515625" style="123" customWidth="1"/>
    <col min="15370" max="15371" width="10.85546875" style="123" customWidth="1"/>
    <col min="15372" max="15375" width="10.28515625" style="123" customWidth="1"/>
    <col min="15376" max="15376" width="9.140625" style="123"/>
    <col min="15377" max="15377" width="10.14062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2" width="12" style="123" customWidth="1"/>
    <col min="15623" max="15624" width="8.5703125" style="123" customWidth="1"/>
    <col min="15625" max="15625" width="10.28515625" style="123" customWidth="1"/>
    <col min="15626" max="15627" width="10.85546875" style="123" customWidth="1"/>
    <col min="15628" max="15631" width="10.28515625" style="123" customWidth="1"/>
    <col min="15632" max="15632" width="9.140625" style="123"/>
    <col min="15633" max="15633" width="10.14062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78" width="12" style="123" customWidth="1"/>
    <col min="15879" max="15880" width="8.5703125" style="123" customWidth="1"/>
    <col min="15881" max="15881" width="10.28515625" style="123" customWidth="1"/>
    <col min="15882" max="15883" width="10.85546875" style="123" customWidth="1"/>
    <col min="15884" max="15887" width="10.28515625" style="123" customWidth="1"/>
    <col min="15888" max="15888" width="9.140625" style="123"/>
    <col min="15889" max="15889" width="10.14062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4" width="12" style="123" customWidth="1"/>
    <col min="16135" max="16136" width="8.5703125" style="123" customWidth="1"/>
    <col min="16137" max="16137" width="10.28515625" style="123" customWidth="1"/>
    <col min="16138" max="16139" width="10.85546875" style="123" customWidth="1"/>
    <col min="16140" max="16143" width="10.28515625" style="123" customWidth="1"/>
    <col min="16144" max="16144" width="9.140625" style="123"/>
    <col min="16145" max="16145" width="10.140625" style="123" customWidth="1"/>
    <col min="16146" max="16384" width="9.140625" style="123"/>
  </cols>
  <sheetData>
    <row r="1" spans="1:39" s="217" customFormat="1" ht="15.75" x14ac:dyDescent="0.25">
      <c r="L1" s="292"/>
    </row>
    <row r="2" spans="1:39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9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9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1:39" s="8" customFormat="1" ht="18" customHeight="1" thickBot="1" x14ac:dyDescent="0.3">
      <c r="B5" s="9"/>
      <c r="M5" s="10"/>
      <c r="N5" s="10"/>
      <c r="O5" s="10"/>
      <c r="P5" s="11"/>
      <c r="Q5" s="11"/>
    </row>
    <row r="6" spans="1:39" s="13" customFormat="1" ht="32.1" customHeight="1" thickBot="1" x14ac:dyDescent="0.3">
      <c r="A6" s="216"/>
      <c r="B6" s="359" t="s">
        <v>1324</v>
      </c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8"/>
      <c r="O6" s="358"/>
      <c r="P6" s="358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39" s="17" customFormat="1" ht="18" customHeight="1" x14ac:dyDescent="0.25">
      <c r="A8" s="59"/>
      <c r="B8" s="341" t="s">
        <v>1</v>
      </c>
      <c r="C8" s="337" t="s">
        <v>2</v>
      </c>
      <c r="D8" s="338"/>
      <c r="E8" s="346" t="s">
        <v>3</v>
      </c>
      <c r="F8" s="346"/>
      <c r="G8" s="219" t="s">
        <v>4</v>
      </c>
      <c r="H8" s="330" t="s">
        <v>5</v>
      </c>
      <c r="I8" s="331"/>
      <c r="J8" s="331"/>
      <c r="K8" s="331"/>
      <c r="L8" s="332"/>
      <c r="M8" s="325" t="s">
        <v>433</v>
      </c>
      <c r="N8" s="328" t="s">
        <v>7</v>
      </c>
      <c r="O8" s="312" t="s">
        <v>8</v>
      </c>
      <c r="P8" s="16" t="s">
        <v>9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8" t="s">
        <v>444</v>
      </c>
      <c r="B9" s="342"/>
      <c r="C9" s="339"/>
      <c r="D9" s="340"/>
      <c r="E9" s="369" t="s">
        <v>355</v>
      </c>
      <c r="F9" s="382"/>
      <c r="G9" s="116"/>
      <c r="H9" s="333" t="s">
        <v>42</v>
      </c>
      <c r="I9" s="349"/>
      <c r="J9" s="344" t="s">
        <v>43</v>
      </c>
      <c r="K9" s="383"/>
      <c r="L9" s="306" t="s">
        <v>1316</v>
      </c>
      <c r="M9" s="326" t="s">
        <v>434</v>
      </c>
      <c r="N9" s="329"/>
      <c r="O9" s="313"/>
      <c r="P9" s="22"/>
      <c r="Q9" s="59"/>
      <c r="R9" s="47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43"/>
      <c r="C10" s="23" t="s">
        <v>12</v>
      </c>
      <c r="D10" s="24" t="s">
        <v>13</v>
      </c>
      <c r="E10" s="23" t="s">
        <v>435</v>
      </c>
      <c r="F10" s="24" t="s">
        <v>436</v>
      </c>
      <c r="G10" s="25" t="s">
        <v>16</v>
      </c>
      <c r="H10" s="191" t="s">
        <v>717</v>
      </c>
      <c r="I10" s="187" t="s">
        <v>17</v>
      </c>
      <c r="J10" s="202" t="s">
        <v>717</v>
      </c>
      <c r="K10" s="307" t="s">
        <v>18</v>
      </c>
      <c r="L10" s="304" t="s">
        <v>1407</v>
      </c>
      <c r="M10" s="327" t="s">
        <v>437</v>
      </c>
      <c r="N10" s="26" t="s">
        <v>19</v>
      </c>
      <c r="O10" s="27" t="s">
        <v>20</v>
      </c>
      <c r="P10" s="28" t="s">
        <v>21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136" customFormat="1" ht="18" customHeight="1" thickBot="1" x14ac:dyDescent="0.3">
      <c r="A11" s="131"/>
      <c r="B11" s="29" t="s">
        <v>438</v>
      </c>
      <c r="C11" s="76">
        <v>0.75</v>
      </c>
      <c r="D11" s="178">
        <v>1</v>
      </c>
      <c r="E11" s="76">
        <v>6</v>
      </c>
      <c r="F11" s="178">
        <v>16</v>
      </c>
      <c r="G11" s="92">
        <v>40</v>
      </c>
      <c r="H11" s="258"/>
      <c r="I11" s="186">
        <v>246.89083301245444</v>
      </c>
      <c r="J11" s="255">
        <v>100601421</v>
      </c>
      <c r="K11" s="308">
        <v>238.78583091861123</v>
      </c>
      <c r="L11" s="33">
        <v>318.78583091861123</v>
      </c>
      <c r="M11" s="76" t="s">
        <v>24</v>
      </c>
      <c r="N11" s="81">
        <v>2900</v>
      </c>
      <c r="O11" s="81">
        <v>25.9</v>
      </c>
      <c r="P11" s="82">
        <f>0.5*0.32*0.23</f>
        <v>3.6799999999999999E-2</v>
      </c>
      <c r="Q11" s="123"/>
      <c r="R11" s="47"/>
    </row>
    <row r="12" spans="1:39" s="136" customFormat="1" ht="18" customHeight="1" thickBot="1" x14ac:dyDescent="0.3">
      <c r="A12" s="131"/>
      <c r="B12" s="29" t="s">
        <v>439</v>
      </c>
      <c r="C12" s="76">
        <v>0.75</v>
      </c>
      <c r="D12" s="77">
        <v>1</v>
      </c>
      <c r="E12" s="76">
        <v>10</v>
      </c>
      <c r="F12" s="77">
        <v>10</v>
      </c>
      <c r="G12" s="92">
        <v>50</v>
      </c>
      <c r="H12" s="258"/>
      <c r="I12" s="186">
        <v>251.8785266086656</v>
      </c>
      <c r="J12" s="255">
        <v>100601422</v>
      </c>
      <c r="K12" s="308">
        <v>244</v>
      </c>
      <c r="L12" s="33">
        <v>337</v>
      </c>
      <c r="M12" s="76" t="s">
        <v>24</v>
      </c>
      <c r="N12" s="81">
        <v>2900</v>
      </c>
      <c r="O12" s="81">
        <v>27.7</v>
      </c>
      <c r="P12" s="82">
        <f>0.52*0.34*0.23</f>
        <v>4.0664000000000006E-2</v>
      </c>
      <c r="Q12" s="123"/>
      <c r="R12" s="47"/>
    </row>
    <row r="13" spans="1:39" s="152" customFormat="1" ht="18" customHeight="1" thickBot="1" x14ac:dyDescent="0.3">
      <c r="A13" s="151"/>
      <c r="B13" s="29" t="s">
        <v>440</v>
      </c>
      <c r="C13" s="76">
        <v>1.1000000000000001</v>
      </c>
      <c r="D13" s="77">
        <v>1.5</v>
      </c>
      <c r="E13" s="76">
        <v>8</v>
      </c>
      <c r="F13" s="77">
        <v>16</v>
      </c>
      <c r="G13" s="92">
        <v>50</v>
      </c>
      <c r="H13" s="258"/>
      <c r="I13" s="186">
        <v>297.70296152385606</v>
      </c>
      <c r="J13" s="255">
        <v>100601450</v>
      </c>
      <c r="K13" s="308">
        <v>288</v>
      </c>
      <c r="L13" s="33">
        <v>381</v>
      </c>
      <c r="M13" s="76" t="s">
        <v>24</v>
      </c>
      <c r="N13" s="81">
        <v>2900</v>
      </c>
      <c r="O13" s="81">
        <v>28.3</v>
      </c>
      <c r="P13" s="82">
        <f>0.55*0.325*0.23</f>
        <v>4.1112500000000003E-2</v>
      </c>
      <c r="Q13" s="123"/>
    </row>
    <row r="14" spans="1:39" s="136" customFormat="1" ht="18" customHeight="1" thickBot="1" x14ac:dyDescent="0.3">
      <c r="A14" s="131"/>
      <c r="B14" s="29" t="s">
        <v>441</v>
      </c>
      <c r="C14" s="76">
        <v>1.5</v>
      </c>
      <c r="D14" s="77">
        <v>2</v>
      </c>
      <c r="E14" s="76">
        <v>15</v>
      </c>
      <c r="F14" s="77">
        <v>15</v>
      </c>
      <c r="G14" s="92">
        <v>50</v>
      </c>
      <c r="H14" s="258"/>
      <c r="I14" s="186">
        <v>331.36989329828168</v>
      </c>
      <c r="J14" s="255">
        <v>100601157</v>
      </c>
      <c r="K14" s="308">
        <v>302.06719342054078</v>
      </c>
      <c r="L14" s="33">
        <v>395.06719342054078</v>
      </c>
      <c r="M14" s="76" t="s">
        <v>24</v>
      </c>
      <c r="N14" s="81">
        <v>2900</v>
      </c>
      <c r="O14" s="81">
        <v>29.8</v>
      </c>
      <c r="P14" s="82">
        <f>0.55*0.325*0.23</f>
        <v>4.1112500000000003E-2</v>
      </c>
      <c r="Q14" s="123"/>
    </row>
    <row r="15" spans="1:39" s="136" customFormat="1" ht="18" customHeight="1" thickBot="1" x14ac:dyDescent="0.3">
      <c r="A15" s="131"/>
      <c r="B15" s="29" t="s">
        <v>442</v>
      </c>
      <c r="C15" s="76">
        <v>1.5</v>
      </c>
      <c r="D15" s="77">
        <v>2</v>
      </c>
      <c r="E15" s="76">
        <v>8</v>
      </c>
      <c r="F15" s="77">
        <v>20</v>
      </c>
      <c r="G15" s="92">
        <v>50</v>
      </c>
      <c r="H15" s="258"/>
      <c r="I15" s="186">
        <v>331.36989329828168</v>
      </c>
      <c r="J15" s="255">
        <v>100601451</v>
      </c>
      <c r="K15" s="308">
        <v>302.06719342054078</v>
      </c>
      <c r="L15" s="33">
        <v>395.06719342054078</v>
      </c>
      <c r="M15" s="76" t="s">
        <v>24</v>
      </c>
      <c r="N15" s="81">
        <v>2900</v>
      </c>
      <c r="O15" s="81">
        <v>29.2</v>
      </c>
      <c r="P15" s="82">
        <f>0.55*0.325*0.23</f>
        <v>4.1112500000000003E-2</v>
      </c>
      <c r="Q15" s="123"/>
    </row>
    <row r="16" spans="1:39" s="136" customFormat="1" ht="18" customHeight="1" thickBot="1" x14ac:dyDescent="0.3">
      <c r="A16" s="131"/>
      <c r="B16" s="29" t="s">
        <v>443</v>
      </c>
      <c r="C16" s="76">
        <v>2.2000000000000002</v>
      </c>
      <c r="D16" s="77">
        <v>3</v>
      </c>
      <c r="E16" s="76">
        <v>9</v>
      </c>
      <c r="F16" s="77">
        <v>22</v>
      </c>
      <c r="G16" s="92">
        <v>50</v>
      </c>
      <c r="H16" s="259"/>
      <c r="I16" s="189"/>
      <c r="J16" s="255">
        <v>100602610</v>
      </c>
      <c r="K16" s="308">
        <v>464</v>
      </c>
      <c r="L16" s="33">
        <v>557</v>
      </c>
      <c r="M16" s="76" t="s">
        <v>24</v>
      </c>
      <c r="N16" s="81">
        <v>2900</v>
      </c>
      <c r="O16" s="81">
        <v>41.7</v>
      </c>
      <c r="P16" s="82">
        <f>0.615*0.395*0.275</f>
        <v>6.6804374999999999E-2</v>
      </c>
      <c r="Q16" s="123"/>
    </row>
    <row r="17" spans="1:17" s="136" customFormat="1" ht="18" customHeight="1" thickBot="1" x14ac:dyDescent="0.3">
      <c r="B17" s="29" t="s">
        <v>445</v>
      </c>
      <c r="C17" s="76">
        <v>2.2000000000000002</v>
      </c>
      <c r="D17" s="77">
        <v>3</v>
      </c>
      <c r="E17" s="76">
        <v>15</v>
      </c>
      <c r="F17" s="77">
        <v>20</v>
      </c>
      <c r="G17" s="92">
        <v>50</v>
      </c>
      <c r="H17" s="258"/>
      <c r="I17" s="186">
        <v>509.51040000000006</v>
      </c>
      <c r="J17" s="255">
        <v>100602611</v>
      </c>
      <c r="K17" s="308">
        <v>464</v>
      </c>
      <c r="L17" s="33">
        <v>557</v>
      </c>
      <c r="M17" s="76" t="s">
        <v>24</v>
      </c>
      <c r="N17" s="81">
        <v>2900</v>
      </c>
      <c r="O17" s="81">
        <v>41.8</v>
      </c>
      <c r="P17" s="82">
        <f>0.615*0.395*0.275</f>
        <v>6.6804374999999999E-2</v>
      </c>
      <c r="Q17" s="123"/>
    </row>
    <row r="18" spans="1:17" s="136" customFormat="1" ht="18" customHeight="1" thickBot="1" x14ac:dyDescent="0.3">
      <c r="A18" s="131"/>
      <c r="B18" s="29" t="s">
        <v>446</v>
      </c>
      <c r="C18" s="76">
        <v>3</v>
      </c>
      <c r="D18" s="77">
        <v>4</v>
      </c>
      <c r="E18" s="76">
        <v>15</v>
      </c>
      <c r="F18" s="77">
        <v>30</v>
      </c>
      <c r="G18" s="92">
        <v>50</v>
      </c>
      <c r="H18" s="259"/>
      <c r="I18" s="189"/>
      <c r="J18" s="255">
        <v>100591750</v>
      </c>
      <c r="K18" s="308">
        <v>522</v>
      </c>
      <c r="L18" s="33">
        <v>615</v>
      </c>
      <c r="M18" s="76" t="s">
        <v>24</v>
      </c>
      <c r="N18" s="81">
        <v>2900</v>
      </c>
      <c r="O18" s="81">
        <v>46.7</v>
      </c>
      <c r="P18" s="82">
        <f>0.65*0.395*0.275</f>
        <v>7.0606250000000009E-2</v>
      </c>
      <c r="Q18" s="123"/>
    </row>
    <row r="19" spans="1:17" s="136" customFormat="1" ht="18" customHeight="1" thickBot="1" x14ac:dyDescent="0.3">
      <c r="A19" s="131"/>
      <c r="B19" s="29" t="s">
        <v>447</v>
      </c>
      <c r="C19" s="76">
        <v>4</v>
      </c>
      <c r="D19" s="77">
        <v>5.5</v>
      </c>
      <c r="E19" s="76">
        <v>15</v>
      </c>
      <c r="F19" s="77">
        <v>35</v>
      </c>
      <c r="G19" s="92">
        <v>50</v>
      </c>
      <c r="H19" s="259"/>
      <c r="I19" s="189"/>
      <c r="J19" s="255">
        <v>100601448</v>
      </c>
      <c r="K19" s="308">
        <v>704.19998961506883</v>
      </c>
      <c r="L19" s="33">
        <v>797.19998961506883</v>
      </c>
      <c r="M19" s="76" t="s">
        <v>24</v>
      </c>
      <c r="N19" s="81">
        <v>2900</v>
      </c>
      <c r="O19" s="81">
        <v>67.5</v>
      </c>
      <c r="P19" s="82">
        <f>0.74*0.44*0.31</f>
        <v>0.100936</v>
      </c>
      <c r="Q19" s="123"/>
    </row>
    <row r="20" spans="1:17" s="136" customFormat="1" ht="18" customHeight="1" thickBot="1" x14ac:dyDescent="0.3">
      <c r="A20" s="131"/>
      <c r="B20" s="29" t="s">
        <v>448</v>
      </c>
      <c r="C20" s="76">
        <v>5.5</v>
      </c>
      <c r="D20" s="77">
        <v>7.5</v>
      </c>
      <c r="E20" s="76">
        <v>15</v>
      </c>
      <c r="F20" s="77">
        <v>40</v>
      </c>
      <c r="G20" s="92">
        <v>50</v>
      </c>
      <c r="H20" s="259"/>
      <c r="I20" s="189"/>
      <c r="J20" s="255">
        <v>100602041</v>
      </c>
      <c r="K20" s="308">
        <v>906.82504196114883</v>
      </c>
      <c r="L20" s="33">
        <v>999.82504196114883</v>
      </c>
      <c r="M20" s="76" t="s">
        <v>24</v>
      </c>
      <c r="N20" s="81">
        <v>2900</v>
      </c>
      <c r="O20" s="81">
        <v>72.5</v>
      </c>
      <c r="P20" s="82">
        <f>0.78*0.44*0.31</f>
        <v>0.106392</v>
      </c>
      <c r="Q20" s="123"/>
    </row>
    <row r="21" spans="1:17" s="136" customFormat="1" ht="18" customHeight="1" thickBot="1" x14ac:dyDescent="0.3">
      <c r="A21" s="131"/>
      <c r="B21" s="29" t="s">
        <v>449</v>
      </c>
      <c r="C21" s="76">
        <v>7.5</v>
      </c>
      <c r="D21" s="77">
        <v>10</v>
      </c>
      <c r="E21" s="76">
        <v>20</v>
      </c>
      <c r="F21" s="77">
        <v>45</v>
      </c>
      <c r="G21" s="92">
        <v>50</v>
      </c>
      <c r="H21" s="259"/>
      <c r="I21" s="189"/>
      <c r="J21" s="255">
        <v>100601449</v>
      </c>
      <c r="K21" s="308">
        <v>1278</v>
      </c>
      <c r="L21" s="33">
        <v>1371</v>
      </c>
      <c r="M21" s="76" t="s">
        <v>24</v>
      </c>
      <c r="N21" s="81">
        <v>2900</v>
      </c>
      <c r="O21" s="81">
        <v>124</v>
      </c>
      <c r="P21" s="82">
        <f>0.83*0.48*0.36</f>
        <v>0.143424</v>
      </c>
      <c r="Q21" s="123"/>
    </row>
    <row r="22" spans="1:17" s="136" customFormat="1" ht="18" customHeight="1" thickBot="1" x14ac:dyDescent="0.3">
      <c r="A22" s="131"/>
      <c r="B22" s="29" t="s">
        <v>450</v>
      </c>
      <c r="C22" s="76">
        <v>1.1000000000000001</v>
      </c>
      <c r="D22" s="77">
        <v>1.5</v>
      </c>
      <c r="E22" s="76">
        <v>15</v>
      </c>
      <c r="F22" s="77">
        <v>10</v>
      </c>
      <c r="G22" s="92">
        <v>65</v>
      </c>
      <c r="H22" s="258"/>
      <c r="I22" s="186">
        <v>297.70296152385606</v>
      </c>
      <c r="J22" s="255">
        <v>100601892</v>
      </c>
      <c r="K22" s="308">
        <v>288</v>
      </c>
      <c r="L22" s="33">
        <v>423</v>
      </c>
      <c r="M22" s="76" t="s">
        <v>24</v>
      </c>
      <c r="N22" s="81">
        <v>2900</v>
      </c>
      <c r="O22" s="81">
        <v>30.1</v>
      </c>
      <c r="P22" s="82">
        <f>0.55*0.345*0.23</f>
        <v>4.3642500000000001E-2</v>
      </c>
      <c r="Q22" s="123"/>
    </row>
    <row r="23" spans="1:17" s="136" customFormat="1" ht="18" customHeight="1" thickBot="1" x14ac:dyDescent="0.3">
      <c r="A23" s="131"/>
      <c r="B23" s="29" t="s">
        <v>451</v>
      </c>
      <c r="C23" s="76">
        <v>1.5</v>
      </c>
      <c r="D23" s="77">
        <v>2</v>
      </c>
      <c r="E23" s="76">
        <v>25</v>
      </c>
      <c r="F23" s="77">
        <v>10</v>
      </c>
      <c r="G23" s="92">
        <v>65</v>
      </c>
      <c r="H23" s="258"/>
      <c r="I23" s="186">
        <v>336.04585604472959</v>
      </c>
      <c r="J23" s="255">
        <v>100603419</v>
      </c>
      <c r="K23" s="308">
        <v>313</v>
      </c>
      <c r="L23" s="33">
        <v>448</v>
      </c>
      <c r="M23" s="76" t="s">
        <v>24</v>
      </c>
      <c r="N23" s="81">
        <v>2900</v>
      </c>
      <c r="O23" s="81">
        <v>32</v>
      </c>
      <c r="P23" s="82">
        <f>0.55*0.345*0.23</f>
        <v>4.3642500000000001E-2</v>
      </c>
      <c r="Q23" s="123"/>
    </row>
    <row r="24" spans="1:17" s="136" customFormat="1" ht="18" customHeight="1" thickBot="1" x14ac:dyDescent="0.3">
      <c r="A24" s="131"/>
      <c r="B24" s="29" t="s">
        <v>452</v>
      </c>
      <c r="C24" s="76">
        <v>2.2000000000000002</v>
      </c>
      <c r="D24" s="77">
        <v>3</v>
      </c>
      <c r="E24" s="76">
        <v>25</v>
      </c>
      <c r="F24" s="77">
        <v>17</v>
      </c>
      <c r="G24" s="92" t="s">
        <v>453</v>
      </c>
      <c r="H24" s="259"/>
      <c r="I24" s="189"/>
      <c r="J24" s="255">
        <v>100601893</v>
      </c>
      <c r="K24" s="308">
        <v>464</v>
      </c>
      <c r="L24" s="33">
        <v>599</v>
      </c>
      <c r="M24" s="76" t="s">
        <v>24</v>
      </c>
      <c r="N24" s="81">
        <v>2900</v>
      </c>
      <c r="O24" s="81">
        <v>44.9</v>
      </c>
      <c r="P24" s="82">
        <f>0.62*0.385*0.27</f>
        <v>6.4449000000000006E-2</v>
      </c>
      <c r="Q24" s="123"/>
    </row>
    <row r="25" spans="1:17" s="136" customFormat="1" ht="18" customHeight="1" thickBot="1" x14ac:dyDescent="0.3">
      <c r="A25" s="131"/>
      <c r="B25" s="29" t="s">
        <v>454</v>
      </c>
      <c r="C25" s="76">
        <v>3</v>
      </c>
      <c r="D25" s="77">
        <v>4</v>
      </c>
      <c r="E25" s="76">
        <v>25</v>
      </c>
      <c r="F25" s="77">
        <v>22</v>
      </c>
      <c r="G25" s="92">
        <v>65</v>
      </c>
      <c r="H25" s="259"/>
      <c r="I25" s="189"/>
      <c r="J25" s="255">
        <v>100601894</v>
      </c>
      <c r="K25" s="308">
        <v>522</v>
      </c>
      <c r="L25" s="33">
        <v>657</v>
      </c>
      <c r="M25" s="76" t="s">
        <v>24</v>
      </c>
      <c r="N25" s="81">
        <v>2900</v>
      </c>
      <c r="O25" s="81">
        <v>48.3</v>
      </c>
      <c r="P25" s="82">
        <f>0.65*0.39*0.27</f>
        <v>6.8445000000000006E-2</v>
      </c>
      <c r="Q25" s="123"/>
    </row>
    <row r="26" spans="1:17" s="136" customFormat="1" ht="18" customHeight="1" thickBot="1" x14ac:dyDescent="0.3">
      <c r="A26" s="131"/>
      <c r="B26" s="29" t="s">
        <v>455</v>
      </c>
      <c r="C26" s="76">
        <v>4</v>
      </c>
      <c r="D26" s="77">
        <v>5.5</v>
      </c>
      <c r="E26" s="76">
        <v>25</v>
      </c>
      <c r="F26" s="77">
        <v>28</v>
      </c>
      <c r="G26" s="92">
        <v>65</v>
      </c>
      <c r="H26" s="259"/>
      <c r="I26" s="189"/>
      <c r="J26" s="255">
        <v>100591751</v>
      </c>
      <c r="K26" s="308">
        <v>704.19998961506883</v>
      </c>
      <c r="L26" s="33">
        <v>839.19998961506883</v>
      </c>
      <c r="M26" s="76" t="s">
        <v>24</v>
      </c>
      <c r="N26" s="81">
        <v>2900</v>
      </c>
      <c r="O26" s="81">
        <v>67</v>
      </c>
      <c r="P26" s="82">
        <f>0.73*0.44*0.31</f>
        <v>9.9571999999999994E-2</v>
      </c>
      <c r="Q26" s="123"/>
    </row>
    <row r="27" spans="1:17" s="136" customFormat="1" ht="18" customHeight="1" thickBot="1" x14ac:dyDescent="0.3">
      <c r="A27" s="131"/>
      <c r="B27" s="29" t="s">
        <v>456</v>
      </c>
      <c r="C27" s="76">
        <v>5.5</v>
      </c>
      <c r="D27" s="77">
        <v>7.5</v>
      </c>
      <c r="E27" s="76">
        <v>30</v>
      </c>
      <c r="F27" s="77">
        <v>30</v>
      </c>
      <c r="G27" s="92">
        <v>65</v>
      </c>
      <c r="H27" s="259"/>
      <c r="I27" s="189"/>
      <c r="J27" s="255">
        <v>100603421</v>
      </c>
      <c r="K27" s="308">
        <v>906.82504196114883</v>
      </c>
      <c r="L27" s="33">
        <v>1041.8250419611488</v>
      </c>
      <c r="M27" s="76" t="s">
        <v>24</v>
      </c>
      <c r="N27" s="81">
        <v>2900</v>
      </c>
      <c r="O27" s="81">
        <v>72.099999999999994</v>
      </c>
      <c r="P27" s="82">
        <f>0.77*0.44*0.31</f>
        <v>0.105028</v>
      </c>
      <c r="Q27" s="123"/>
    </row>
    <row r="28" spans="1:17" s="136" customFormat="1" ht="18" customHeight="1" thickBot="1" x14ac:dyDescent="0.3">
      <c r="A28" s="131"/>
      <c r="B28" s="29" t="s">
        <v>457</v>
      </c>
      <c r="C28" s="76">
        <v>7.5</v>
      </c>
      <c r="D28" s="77">
        <v>10</v>
      </c>
      <c r="E28" s="76">
        <v>30</v>
      </c>
      <c r="F28" s="77">
        <v>35</v>
      </c>
      <c r="G28" s="92">
        <v>65</v>
      </c>
      <c r="H28" s="259"/>
      <c r="I28" s="189"/>
      <c r="J28" s="255">
        <v>100603424</v>
      </c>
      <c r="K28" s="308">
        <v>1278</v>
      </c>
      <c r="L28" s="33">
        <v>1413</v>
      </c>
      <c r="M28" s="76" t="s">
        <v>24</v>
      </c>
      <c r="N28" s="81">
        <v>2900</v>
      </c>
      <c r="O28" s="81">
        <v>125</v>
      </c>
      <c r="P28" s="82">
        <f>0.835*0.495*0.36</f>
        <v>0.14879699999999998</v>
      </c>
      <c r="Q28" s="123"/>
    </row>
    <row r="29" spans="1:17" s="136" customFormat="1" ht="18" customHeight="1" thickBot="1" x14ac:dyDescent="0.3">
      <c r="A29" s="131"/>
      <c r="B29" s="29" t="s">
        <v>458</v>
      </c>
      <c r="C29" s="76">
        <v>2.2000000000000002</v>
      </c>
      <c r="D29" s="77">
        <v>3</v>
      </c>
      <c r="E29" s="76">
        <v>45</v>
      </c>
      <c r="F29" s="77">
        <v>9</v>
      </c>
      <c r="G29" s="92">
        <v>80</v>
      </c>
      <c r="H29" s="259"/>
      <c r="I29" s="189"/>
      <c r="J29" s="255">
        <v>100591752</v>
      </c>
      <c r="K29" s="308">
        <v>467.59627464480002</v>
      </c>
      <c r="L29" s="33">
        <v>655.59627464480002</v>
      </c>
      <c r="M29" s="76" t="s">
        <v>24</v>
      </c>
      <c r="N29" s="81">
        <v>2900</v>
      </c>
      <c r="O29" s="81">
        <v>47.4</v>
      </c>
      <c r="P29" s="82">
        <f>0.64*0.42*0.275</f>
        <v>7.392E-2</v>
      </c>
      <c r="Q29" s="123"/>
    </row>
    <row r="30" spans="1:17" s="136" customFormat="1" ht="18" customHeight="1" thickBot="1" x14ac:dyDescent="0.3">
      <c r="A30" s="131"/>
      <c r="B30" s="29" t="s">
        <v>459</v>
      </c>
      <c r="C30" s="76">
        <v>3</v>
      </c>
      <c r="D30" s="77">
        <v>4</v>
      </c>
      <c r="E30" s="76">
        <v>43</v>
      </c>
      <c r="F30" s="77">
        <v>13</v>
      </c>
      <c r="G30" s="92">
        <v>80</v>
      </c>
      <c r="H30" s="259"/>
      <c r="I30" s="189"/>
      <c r="J30" s="255">
        <v>100591753</v>
      </c>
      <c r="K30" s="308">
        <v>527</v>
      </c>
      <c r="L30" s="33">
        <v>715</v>
      </c>
      <c r="M30" s="76" t="s">
        <v>24</v>
      </c>
      <c r="N30" s="81">
        <v>2900</v>
      </c>
      <c r="O30" s="81">
        <v>50.3</v>
      </c>
      <c r="P30" s="82">
        <f>0.675*0.42*0.275</f>
        <v>7.7962500000000018E-2</v>
      </c>
      <c r="Q30" s="123"/>
    </row>
    <row r="31" spans="1:17" s="136" customFormat="1" ht="18" customHeight="1" thickBot="1" x14ac:dyDescent="0.3">
      <c r="A31" s="131"/>
      <c r="B31" s="29" t="s">
        <v>460</v>
      </c>
      <c r="C31" s="76">
        <v>4</v>
      </c>
      <c r="D31" s="77">
        <v>5.5</v>
      </c>
      <c r="E31" s="76">
        <v>40</v>
      </c>
      <c r="F31" s="77">
        <v>18</v>
      </c>
      <c r="G31" s="92">
        <v>80</v>
      </c>
      <c r="H31" s="259"/>
      <c r="I31" s="189"/>
      <c r="J31" s="255">
        <v>100591754</v>
      </c>
      <c r="K31" s="308">
        <v>710</v>
      </c>
      <c r="L31" s="33">
        <v>898</v>
      </c>
      <c r="M31" s="76" t="s">
        <v>24</v>
      </c>
      <c r="N31" s="81">
        <v>2900</v>
      </c>
      <c r="O31" s="81">
        <v>67</v>
      </c>
      <c r="P31" s="82">
        <f>0.73*0.46*0.31</f>
        <v>0.104098</v>
      </c>
      <c r="Q31" s="123"/>
    </row>
    <row r="32" spans="1:17" s="136" customFormat="1" ht="18" customHeight="1" thickBot="1" x14ac:dyDescent="0.3">
      <c r="A32" s="131"/>
      <c r="B32" s="29" t="s">
        <v>461</v>
      </c>
      <c r="C32" s="76">
        <v>5.5</v>
      </c>
      <c r="D32" s="77">
        <v>7.5</v>
      </c>
      <c r="E32" s="76">
        <v>30</v>
      </c>
      <c r="F32" s="77">
        <v>30</v>
      </c>
      <c r="G32" s="92">
        <v>80</v>
      </c>
      <c r="H32" s="259"/>
      <c r="I32" s="189"/>
      <c r="J32" s="255">
        <v>100591755</v>
      </c>
      <c r="K32" s="308">
        <v>916.80042915357137</v>
      </c>
      <c r="L32" s="33">
        <v>1104.8004291535713</v>
      </c>
      <c r="M32" s="76" t="s">
        <v>24</v>
      </c>
      <c r="N32" s="81">
        <v>2900</v>
      </c>
      <c r="O32" s="81">
        <v>74.400000000000006</v>
      </c>
      <c r="P32" s="82">
        <f>0.77*0.46*0.31</f>
        <v>0.10980200000000001</v>
      </c>
      <c r="Q32" s="123"/>
    </row>
    <row r="33" spans="1:17" s="136" customFormat="1" ht="18" customHeight="1" thickBot="1" x14ac:dyDescent="0.3">
      <c r="A33" s="131"/>
      <c r="B33" s="29" t="s">
        <v>462</v>
      </c>
      <c r="C33" s="76">
        <v>7.5</v>
      </c>
      <c r="D33" s="77">
        <v>10</v>
      </c>
      <c r="E33" s="76">
        <v>30</v>
      </c>
      <c r="F33" s="77">
        <v>36</v>
      </c>
      <c r="G33" s="92">
        <v>80</v>
      </c>
      <c r="H33" s="259"/>
      <c r="I33" s="189"/>
      <c r="J33" s="255">
        <v>100601454</v>
      </c>
      <c r="K33" s="308">
        <v>1278</v>
      </c>
      <c r="L33" s="33">
        <v>1466</v>
      </c>
      <c r="M33" s="76" t="s">
        <v>24</v>
      </c>
      <c r="N33" s="81">
        <v>2900</v>
      </c>
      <c r="O33" s="81">
        <v>127</v>
      </c>
      <c r="P33" s="82">
        <f>0.835*0.5*0.36</f>
        <v>0.15029999999999999</v>
      </c>
      <c r="Q33" s="123"/>
    </row>
    <row r="34" spans="1:17" s="136" customFormat="1" ht="18" customHeight="1" thickBot="1" x14ac:dyDescent="0.3">
      <c r="A34" s="131"/>
      <c r="B34" s="29" t="s">
        <v>463</v>
      </c>
      <c r="C34" s="76">
        <v>3</v>
      </c>
      <c r="D34" s="77">
        <v>4</v>
      </c>
      <c r="E34" s="76">
        <v>60</v>
      </c>
      <c r="F34" s="77">
        <v>9</v>
      </c>
      <c r="G34" s="92">
        <v>100</v>
      </c>
      <c r="H34" s="259"/>
      <c r="I34" s="189"/>
      <c r="J34" s="255">
        <v>100601455</v>
      </c>
      <c r="K34" s="308">
        <v>527</v>
      </c>
      <c r="L34" s="33">
        <v>781</v>
      </c>
      <c r="M34" s="76" t="s">
        <v>24</v>
      </c>
      <c r="N34" s="81">
        <v>2900</v>
      </c>
      <c r="O34" s="81">
        <v>53.2</v>
      </c>
      <c r="P34" s="82">
        <f>0.675*0.45*0.275</f>
        <v>8.3531250000000015E-2</v>
      </c>
      <c r="Q34" s="123"/>
    </row>
    <row r="35" spans="1:17" s="136" customFormat="1" ht="18" customHeight="1" thickBot="1" x14ac:dyDescent="0.3">
      <c r="A35" s="131"/>
      <c r="B35" s="84" t="s">
        <v>464</v>
      </c>
      <c r="C35" s="76">
        <v>4</v>
      </c>
      <c r="D35" s="77">
        <v>5.5</v>
      </c>
      <c r="E35" s="76">
        <v>60</v>
      </c>
      <c r="F35" s="77">
        <v>13</v>
      </c>
      <c r="G35" s="92">
        <v>100</v>
      </c>
      <c r="H35" s="259"/>
      <c r="I35" s="189"/>
      <c r="J35" s="255"/>
      <c r="K35" s="309">
        <v>709.49941406104313</v>
      </c>
      <c r="L35" s="41">
        <v>963.49941406104313</v>
      </c>
      <c r="M35" s="76" t="s">
        <v>24</v>
      </c>
      <c r="N35" s="81">
        <v>2900</v>
      </c>
      <c r="O35" s="81">
        <v>77</v>
      </c>
      <c r="P35" s="82">
        <f>0.765*0.495*0.36</f>
        <v>0.136323</v>
      </c>
      <c r="Q35" s="123"/>
    </row>
    <row r="36" spans="1:17" s="136" customFormat="1" ht="18" customHeight="1" thickBot="1" x14ac:dyDescent="0.3">
      <c r="A36" s="131"/>
      <c r="B36" s="84" t="s">
        <v>465</v>
      </c>
      <c r="C36" s="76">
        <v>5.5</v>
      </c>
      <c r="D36" s="77">
        <v>7.5</v>
      </c>
      <c r="E36" s="76">
        <v>65</v>
      </c>
      <c r="F36" s="77">
        <v>15</v>
      </c>
      <c r="G36" s="92">
        <v>100</v>
      </c>
      <c r="H36" s="259"/>
      <c r="I36" s="189"/>
      <c r="J36" s="255"/>
      <c r="K36" s="309">
        <v>926.77581634599358</v>
      </c>
      <c r="L36" s="41">
        <v>1180.7758163459935</v>
      </c>
      <c r="M36" s="76" t="s">
        <v>24</v>
      </c>
      <c r="N36" s="81">
        <v>2900</v>
      </c>
      <c r="O36" s="81">
        <v>81.599999999999994</v>
      </c>
      <c r="P36" s="82">
        <f>0.805*0.495*0.36</f>
        <v>0.143451</v>
      </c>
      <c r="Q36" s="123"/>
    </row>
    <row r="37" spans="1:17" s="136" customFormat="1" ht="18" customHeight="1" thickBot="1" x14ac:dyDescent="0.3">
      <c r="A37" s="131"/>
      <c r="B37" s="84" t="s">
        <v>466</v>
      </c>
      <c r="C37" s="76">
        <v>7.5</v>
      </c>
      <c r="D37" s="77">
        <v>10</v>
      </c>
      <c r="E37" s="76">
        <v>65</v>
      </c>
      <c r="F37" s="77">
        <v>22</v>
      </c>
      <c r="G37" s="92">
        <v>100</v>
      </c>
      <c r="H37" s="259"/>
      <c r="I37" s="189"/>
      <c r="J37" s="255"/>
      <c r="K37" s="309">
        <v>1286.8249478224895</v>
      </c>
      <c r="L37" s="41">
        <v>1540.8249478224895</v>
      </c>
      <c r="M37" s="76" t="s">
        <v>24</v>
      </c>
      <c r="N37" s="81">
        <v>2900</v>
      </c>
      <c r="O37" s="81">
        <v>132</v>
      </c>
      <c r="P37" s="82">
        <f>0.86*0.535*0.37</f>
        <v>0.170237</v>
      </c>
      <c r="Q37" s="123"/>
    </row>
    <row r="38" spans="1:17" s="136" customFormat="1" ht="18" customHeight="1" thickBot="1" x14ac:dyDescent="0.3">
      <c r="A38" s="131"/>
      <c r="B38" s="29" t="s">
        <v>467</v>
      </c>
      <c r="C38" s="76">
        <v>5.5</v>
      </c>
      <c r="D38" s="77">
        <v>7.5</v>
      </c>
      <c r="E38" s="76">
        <v>100</v>
      </c>
      <c r="F38" s="77">
        <v>7</v>
      </c>
      <c r="G38" s="92">
        <v>150</v>
      </c>
      <c r="H38" s="259"/>
      <c r="I38" s="189"/>
      <c r="J38" s="255">
        <v>100602923</v>
      </c>
      <c r="K38" s="308">
        <v>926.77581634599358</v>
      </c>
      <c r="L38" s="33">
        <v>1570.7758163459935</v>
      </c>
      <c r="M38" s="76" t="s">
        <v>24</v>
      </c>
      <c r="N38" s="81">
        <v>2900</v>
      </c>
      <c r="O38" s="81">
        <v>92.7</v>
      </c>
      <c r="P38" s="82">
        <f>0.81*0.585*0.36</f>
        <v>0.17058599999999999</v>
      </c>
      <c r="Q38" s="123"/>
    </row>
    <row r="39" spans="1:17" s="136" customFormat="1" ht="18" customHeight="1" thickBot="1" x14ac:dyDescent="0.3">
      <c r="A39" s="131"/>
      <c r="B39" s="29" t="s">
        <v>468</v>
      </c>
      <c r="C39" s="76">
        <v>7.5</v>
      </c>
      <c r="D39" s="77">
        <v>10</v>
      </c>
      <c r="E39" s="76">
        <v>100</v>
      </c>
      <c r="F39" s="77">
        <v>10</v>
      </c>
      <c r="G39" s="92">
        <v>150</v>
      </c>
      <c r="H39" s="259"/>
      <c r="I39" s="189"/>
      <c r="J39" s="255">
        <v>100601458</v>
      </c>
      <c r="K39" s="308">
        <v>1286.8249478224895</v>
      </c>
      <c r="L39" s="33">
        <v>1930.8249478224895</v>
      </c>
      <c r="M39" s="76" t="s">
        <v>24</v>
      </c>
      <c r="N39" s="81">
        <v>2900</v>
      </c>
      <c r="O39" s="81">
        <v>142</v>
      </c>
      <c r="P39" s="82">
        <f>0.865*0.61*0.365</f>
        <v>0.19259224999999996</v>
      </c>
      <c r="Q39" s="123"/>
    </row>
    <row r="40" spans="1:17" s="152" customFormat="1" ht="8.25" customHeight="1" thickBot="1" x14ac:dyDescent="0.3">
      <c r="A40" s="153"/>
      <c r="B40" s="289"/>
      <c r="C40" s="289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23"/>
    </row>
    <row r="41" spans="1:17" s="152" customFormat="1" ht="15" customHeight="1" x14ac:dyDescent="0.25">
      <c r="A41" s="153"/>
      <c r="B41" s="380" t="s">
        <v>32</v>
      </c>
      <c r="C41" s="381"/>
      <c r="D41" s="44" t="s">
        <v>1311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123"/>
    </row>
    <row r="42" spans="1:17" s="152" customFormat="1" ht="15" customHeight="1" x14ac:dyDescent="0.25">
      <c r="A42" s="153"/>
      <c r="B42" s="366" t="s">
        <v>34</v>
      </c>
      <c r="C42" s="377"/>
      <c r="D42" s="50" t="s">
        <v>1312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123"/>
    </row>
    <row r="43" spans="1:17" s="152" customFormat="1" ht="15" customHeight="1" x14ac:dyDescent="0.25">
      <c r="A43" s="153"/>
      <c r="B43" s="366" t="s">
        <v>6</v>
      </c>
      <c r="C43" s="377"/>
      <c r="D43" s="50" t="s">
        <v>1323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123"/>
    </row>
    <row r="44" spans="1:17" s="152" customFormat="1" ht="15" customHeight="1" x14ac:dyDescent="0.25">
      <c r="A44" s="153"/>
      <c r="B44" s="366" t="s">
        <v>1313</v>
      </c>
      <c r="C44" s="377"/>
      <c r="D44" s="49" t="s">
        <v>1314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123"/>
    </row>
    <row r="45" spans="1:17" s="152" customFormat="1" ht="15" customHeight="1" x14ac:dyDescent="0.25">
      <c r="A45" s="153"/>
      <c r="B45" s="366" t="s">
        <v>1315</v>
      </c>
      <c r="C45" s="377"/>
      <c r="D45" s="55" t="s">
        <v>1316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123"/>
    </row>
    <row r="46" spans="1:17" s="152" customFormat="1" ht="15" customHeight="1" x14ac:dyDescent="0.25">
      <c r="A46" s="153"/>
      <c r="B46" s="366" t="s">
        <v>1300</v>
      </c>
      <c r="C46" s="377"/>
      <c r="D46" s="288" t="s">
        <v>1317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123"/>
    </row>
    <row r="47" spans="1:17" s="152" customFormat="1" ht="15" customHeight="1" x14ac:dyDescent="0.25">
      <c r="A47" s="153"/>
      <c r="B47" s="366" t="s">
        <v>1318</v>
      </c>
      <c r="C47" s="377"/>
      <c r="D47" s="288" t="s">
        <v>1319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123"/>
    </row>
    <row r="48" spans="1:17" s="152" customFormat="1" ht="15" customHeight="1" x14ac:dyDescent="0.25">
      <c r="A48" s="153"/>
      <c r="B48" s="378" t="s">
        <v>1320</v>
      </c>
      <c r="C48" s="379"/>
      <c r="D48" s="290" t="s">
        <v>1321</v>
      </c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123"/>
    </row>
    <row r="49" spans="1:17" s="152" customFormat="1" ht="15" customHeight="1" thickBo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23"/>
      <c r="Q49" s="123"/>
    </row>
    <row r="50" spans="1:17" s="128" customFormat="1" ht="32.1" customHeight="1" thickBot="1" x14ac:dyDescent="0.3">
      <c r="A50" s="18"/>
      <c r="B50" s="359" t="s">
        <v>1325</v>
      </c>
      <c r="C50" s="359"/>
      <c r="D50" s="359"/>
      <c r="E50" s="359"/>
      <c r="F50" s="359"/>
      <c r="G50" s="359"/>
      <c r="H50" s="359"/>
      <c r="I50" s="359"/>
      <c r="J50" s="359"/>
      <c r="K50" s="359"/>
      <c r="L50" s="359"/>
      <c r="M50" s="359"/>
      <c r="N50" s="154"/>
      <c r="O50" s="155"/>
      <c r="P50" s="155"/>
      <c r="Q50" s="123"/>
    </row>
    <row r="51" spans="1:17" s="128" customFormat="1" ht="6" customHeight="1" thickBot="1" x14ac:dyDescent="0.3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26"/>
      <c r="O51" s="126"/>
      <c r="P51" s="126"/>
      <c r="Q51" s="123"/>
    </row>
    <row r="52" spans="1:17" s="136" customFormat="1" ht="18" customHeight="1" x14ac:dyDescent="0.25">
      <c r="A52" s="131"/>
      <c r="B52" s="384" t="s">
        <v>1</v>
      </c>
      <c r="C52" s="337" t="s">
        <v>2</v>
      </c>
      <c r="D52" s="338"/>
      <c r="E52" s="386" t="s">
        <v>3</v>
      </c>
      <c r="F52" s="386"/>
      <c r="G52" s="132" t="s">
        <v>4</v>
      </c>
      <c r="H52" s="330" t="s">
        <v>5</v>
      </c>
      <c r="I52" s="331"/>
      <c r="J52" s="331"/>
      <c r="K52" s="331"/>
      <c r="L52" s="332"/>
      <c r="M52" s="133" t="s">
        <v>433</v>
      </c>
      <c r="N52" s="134" t="s">
        <v>7</v>
      </c>
      <c r="O52" s="135" t="s">
        <v>8</v>
      </c>
      <c r="P52" s="135" t="s">
        <v>9</v>
      </c>
      <c r="Q52" s="123"/>
    </row>
    <row r="53" spans="1:17" s="142" customFormat="1" ht="18" customHeight="1" x14ac:dyDescent="0.25">
      <c r="A53" s="137"/>
      <c r="B53" s="385"/>
      <c r="C53" s="339"/>
      <c r="D53" s="340"/>
      <c r="E53" s="387" t="s">
        <v>355</v>
      </c>
      <c r="F53" s="388"/>
      <c r="G53" s="138"/>
      <c r="H53" s="333" t="s">
        <v>42</v>
      </c>
      <c r="I53" s="334"/>
      <c r="J53" s="344" t="s">
        <v>43</v>
      </c>
      <c r="K53" s="383"/>
      <c r="L53" s="305" t="s">
        <v>1316</v>
      </c>
      <c r="M53" s="139" t="s">
        <v>434</v>
      </c>
      <c r="N53" s="140"/>
      <c r="O53" s="141"/>
      <c r="P53" s="141"/>
      <c r="Q53" s="123"/>
    </row>
    <row r="54" spans="1:17" s="136" customFormat="1" ht="18" customHeight="1" thickBot="1" x14ac:dyDescent="0.3">
      <c r="A54" s="131"/>
      <c r="B54" s="143"/>
      <c r="C54" s="144" t="s">
        <v>12</v>
      </c>
      <c r="D54" s="143" t="s">
        <v>13</v>
      </c>
      <c r="E54" s="145" t="s">
        <v>435</v>
      </c>
      <c r="F54" s="146" t="s">
        <v>436</v>
      </c>
      <c r="G54" s="147" t="s">
        <v>16</v>
      </c>
      <c r="H54" s="191" t="s">
        <v>717</v>
      </c>
      <c r="I54" s="187" t="s">
        <v>17</v>
      </c>
      <c r="J54" s="27" t="s">
        <v>717</v>
      </c>
      <c r="K54" s="307" t="s">
        <v>18</v>
      </c>
      <c r="L54" s="304" t="s">
        <v>1407</v>
      </c>
      <c r="M54" s="144" t="s">
        <v>437</v>
      </c>
      <c r="N54" s="148" t="s">
        <v>19</v>
      </c>
      <c r="O54" s="149" t="s">
        <v>20</v>
      </c>
      <c r="P54" s="150" t="s">
        <v>21</v>
      </c>
      <c r="Q54" s="123"/>
    </row>
    <row r="55" spans="1:17" s="136" customFormat="1" ht="15.95" customHeight="1" thickBot="1" x14ac:dyDescent="0.3">
      <c r="A55" s="131"/>
      <c r="B55" s="29" t="s">
        <v>469</v>
      </c>
      <c r="C55" s="76">
        <v>11</v>
      </c>
      <c r="D55" s="77">
        <v>15</v>
      </c>
      <c r="E55" s="76">
        <v>25</v>
      </c>
      <c r="F55" s="77">
        <v>45</v>
      </c>
      <c r="G55" s="92">
        <v>65</v>
      </c>
      <c r="H55" s="259"/>
      <c r="I55" s="236"/>
      <c r="J55" s="255">
        <v>100601452</v>
      </c>
      <c r="K55" s="308">
        <v>1555.2252094686046</v>
      </c>
      <c r="L55" s="33">
        <v>1690.2252094686046</v>
      </c>
      <c r="M55" s="76" t="s">
        <v>24</v>
      </c>
      <c r="N55" s="81">
        <v>2900</v>
      </c>
      <c r="O55" s="81">
        <v>187</v>
      </c>
      <c r="P55" s="82">
        <v>0.22387199999999999</v>
      </c>
      <c r="Q55" s="123"/>
    </row>
    <row r="56" spans="1:17" s="136" customFormat="1" ht="15.95" customHeight="1" thickBot="1" x14ac:dyDescent="0.3">
      <c r="A56" s="131"/>
      <c r="B56" s="29" t="s">
        <v>470</v>
      </c>
      <c r="C56" s="76">
        <v>11</v>
      </c>
      <c r="D56" s="77">
        <v>15</v>
      </c>
      <c r="E56" s="76">
        <v>45</v>
      </c>
      <c r="F56" s="77">
        <v>40</v>
      </c>
      <c r="G56" s="92">
        <v>80</v>
      </c>
      <c r="H56" s="259"/>
      <c r="I56" s="236"/>
      <c r="J56" s="255">
        <v>100591756</v>
      </c>
      <c r="K56" s="308">
        <v>1555.2252094686046</v>
      </c>
      <c r="L56" s="33">
        <v>1743.2252094686046</v>
      </c>
      <c r="M56" s="76" t="s">
        <v>24</v>
      </c>
      <c r="N56" s="81">
        <v>2900</v>
      </c>
      <c r="O56" s="81">
        <v>187</v>
      </c>
      <c r="P56" s="82">
        <v>0.22387199999999999</v>
      </c>
      <c r="Q56" s="123"/>
    </row>
    <row r="57" spans="1:17" s="152" customFormat="1" ht="15.95" customHeight="1" thickBot="1" x14ac:dyDescent="0.3">
      <c r="A57" s="151"/>
      <c r="B57" s="29" t="s">
        <v>471</v>
      </c>
      <c r="C57" s="30">
        <v>11</v>
      </c>
      <c r="D57" s="31">
        <v>15</v>
      </c>
      <c r="E57" s="30">
        <v>100</v>
      </c>
      <c r="F57" s="31">
        <v>25</v>
      </c>
      <c r="G57" s="32">
        <v>100</v>
      </c>
      <c r="H57" s="259"/>
      <c r="I57" s="236"/>
      <c r="J57" s="256">
        <v>100591757</v>
      </c>
      <c r="K57" s="308">
        <v>1555.2252094686046</v>
      </c>
      <c r="L57" s="33">
        <v>1809.2252094686046</v>
      </c>
      <c r="M57" s="76" t="s">
        <v>24</v>
      </c>
      <c r="N57" s="81">
        <v>2900</v>
      </c>
      <c r="O57" s="81">
        <v>187</v>
      </c>
      <c r="P57" s="82">
        <v>0.22387199999999999</v>
      </c>
      <c r="Q57" s="123"/>
    </row>
    <row r="58" spans="1:17" s="152" customFormat="1" ht="15.95" customHeight="1" thickBot="1" x14ac:dyDescent="0.3">
      <c r="A58" s="151"/>
      <c r="B58" s="29" t="s">
        <v>472</v>
      </c>
      <c r="C58" s="30">
        <v>11</v>
      </c>
      <c r="D58" s="31">
        <v>15</v>
      </c>
      <c r="E58" s="30">
        <v>150</v>
      </c>
      <c r="F58" s="31">
        <v>15</v>
      </c>
      <c r="G58" s="32">
        <v>150</v>
      </c>
      <c r="H58" s="259"/>
      <c r="I58" s="236"/>
      <c r="J58" s="256">
        <v>100591758</v>
      </c>
      <c r="K58" s="308">
        <v>1580.4754082994241</v>
      </c>
      <c r="L58" s="33">
        <v>2224.4754082994241</v>
      </c>
      <c r="M58" s="76" t="s">
        <v>24</v>
      </c>
      <c r="N58" s="81">
        <v>2900</v>
      </c>
      <c r="O58" s="81">
        <v>192</v>
      </c>
      <c r="P58" s="82">
        <v>0.22387199999999999</v>
      </c>
      <c r="Q58" s="123"/>
    </row>
    <row r="59" spans="1:17" s="152" customFormat="1" ht="15.95" customHeight="1" thickBot="1" x14ac:dyDescent="0.3">
      <c r="A59" s="151"/>
      <c r="B59" s="29" t="s">
        <v>473</v>
      </c>
      <c r="C59" s="30">
        <v>11</v>
      </c>
      <c r="D59" s="31">
        <v>15</v>
      </c>
      <c r="E59" s="30">
        <v>210</v>
      </c>
      <c r="F59" s="31">
        <v>7</v>
      </c>
      <c r="G59" s="32">
        <v>200</v>
      </c>
      <c r="H59" s="259"/>
      <c r="I59" s="236"/>
      <c r="J59" s="256">
        <v>100591759</v>
      </c>
      <c r="K59" s="308">
        <v>1580.4754082994241</v>
      </c>
      <c r="L59" s="33">
        <v>2675.4754082994241</v>
      </c>
      <c r="M59" s="76" t="s">
        <v>24</v>
      </c>
      <c r="N59" s="81">
        <v>2900</v>
      </c>
      <c r="O59" s="81">
        <v>201</v>
      </c>
      <c r="P59" s="82">
        <v>0.22906799999999999</v>
      </c>
      <c r="Q59" s="123"/>
    </row>
    <row r="60" spans="1:17" s="136" customFormat="1" ht="15.95" customHeight="1" thickBot="1" x14ac:dyDescent="0.3">
      <c r="A60" s="131"/>
      <c r="B60" s="29" t="s">
        <v>474</v>
      </c>
      <c r="C60" s="30">
        <v>15</v>
      </c>
      <c r="D60" s="31">
        <v>20</v>
      </c>
      <c r="E60" s="30">
        <v>25</v>
      </c>
      <c r="F60" s="31">
        <v>60</v>
      </c>
      <c r="G60" s="32">
        <v>65</v>
      </c>
      <c r="H60" s="259"/>
      <c r="I60" s="236"/>
      <c r="J60" s="256">
        <v>100601453</v>
      </c>
      <c r="K60" s="308">
        <v>1935.2251153299455</v>
      </c>
      <c r="L60" s="33">
        <v>2070.2251153299458</v>
      </c>
      <c r="M60" s="76" t="s">
        <v>24</v>
      </c>
      <c r="N60" s="81">
        <v>2900</v>
      </c>
      <c r="O60" s="81">
        <v>208</v>
      </c>
      <c r="P60" s="82">
        <v>0.23319999999999999</v>
      </c>
      <c r="Q60" s="123"/>
    </row>
    <row r="61" spans="1:17" s="136" customFormat="1" ht="15.95" customHeight="1" thickBot="1" x14ac:dyDescent="0.3">
      <c r="A61" s="131"/>
      <c r="B61" s="29" t="s">
        <v>475</v>
      </c>
      <c r="C61" s="30">
        <v>15</v>
      </c>
      <c r="D61" s="31">
        <v>20</v>
      </c>
      <c r="E61" s="30">
        <v>40</v>
      </c>
      <c r="F61" s="31">
        <v>50</v>
      </c>
      <c r="G61" s="32">
        <v>80</v>
      </c>
      <c r="H61" s="259"/>
      <c r="I61" s="236"/>
      <c r="J61" s="256">
        <v>100602931</v>
      </c>
      <c r="K61" s="308">
        <v>1935.2251153299455</v>
      </c>
      <c r="L61" s="33">
        <v>2123.2251153299458</v>
      </c>
      <c r="M61" s="76" t="s">
        <v>24</v>
      </c>
      <c r="N61" s="81">
        <v>2900</v>
      </c>
      <c r="O61" s="81">
        <v>208</v>
      </c>
      <c r="P61" s="82">
        <v>0.23319999999999999</v>
      </c>
      <c r="Q61" s="123"/>
    </row>
    <row r="62" spans="1:17" s="136" customFormat="1" ht="15.95" customHeight="1" thickBot="1" x14ac:dyDescent="0.3">
      <c r="A62" s="131"/>
      <c r="B62" s="29" t="s">
        <v>476</v>
      </c>
      <c r="C62" s="30">
        <v>15</v>
      </c>
      <c r="D62" s="31">
        <v>20</v>
      </c>
      <c r="E62" s="30">
        <v>100</v>
      </c>
      <c r="F62" s="31">
        <v>30</v>
      </c>
      <c r="G62" s="32">
        <v>100</v>
      </c>
      <c r="H62" s="259"/>
      <c r="I62" s="236"/>
      <c r="J62" s="256">
        <v>100591760</v>
      </c>
      <c r="K62" s="308">
        <v>1935.2251153299455</v>
      </c>
      <c r="L62" s="33">
        <v>2579.2251153299458</v>
      </c>
      <c r="M62" s="76" t="s">
        <v>24</v>
      </c>
      <c r="N62" s="81">
        <v>2900</v>
      </c>
      <c r="O62" s="81">
        <v>208</v>
      </c>
      <c r="P62" s="82">
        <v>0.23319999999999999</v>
      </c>
      <c r="Q62" s="123"/>
    </row>
    <row r="63" spans="1:17" s="136" customFormat="1" ht="15.95" customHeight="1" thickBot="1" x14ac:dyDescent="0.3">
      <c r="A63" s="131"/>
      <c r="B63" s="29" t="s">
        <v>477</v>
      </c>
      <c r="C63" s="76">
        <v>15</v>
      </c>
      <c r="D63" s="77">
        <v>20</v>
      </c>
      <c r="E63" s="76">
        <v>150</v>
      </c>
      <c r="F63" s="77">
        <v>20</v>
      </c>
      <c r="G63" s="92">
        <v>150</v>
      </c>
      <c r="H63" s="259"/>
      <c r="I63" s="236"/>
      <c r="J63" s="255">
        <v>100600902</v>
      </c>
      <c r="K63" s="308">
        <v>2010</v>
      </c>
      <c r="L63" s="33">
        <v>2654</v>
      </c>
      <c r="M63" s="76" t="s">
        <v>24</v>
      </c>
      <c r="N63" s="81">
        <v>2900</v>
      </c>
      <c r="O63" s="81">
        <v>208</v>
      </c>
      <c r="P63" s="82">
        <v>0.22932</v>
      </c>
      <c r="Q63" s="123"/>
    </row>
    <row r="64" spans="1:17" s="136" customFormat="1" ht="15.95" customHeight="1" thickBot="1" x14ac:dyDescent="0.3">
      <c r="A64" s="18" t="s">
        <v>478</v>
      </c>
      <c r="B64" s="29" t="s">
        <v>479</v>
      </c>
      <c r="C64" s="76">
        <v>15</v>
      </c>
      <c r="D64" s="77">
        <v>20</v>
      </c>
      <c r="E64" s="76">
        <v>220</v>
      </c>
      <c r="F64" s="77">
        <v>12</v>
      </c>
      <c r="G64" s="92">
        <v>200</v>
      </c>
      <c r="H64" s="259"/>
      <c r="I64" s="236"/>
      <c r="J64" s="255">
        <v>100602612</v>
      </c>
      <c r="K64" s="308">
        <v>2010</v>
      </c>
      <c r="L64" s="33">
        <v>3105</v>
      </c>
      <c r="M64" s="76" t="s">
        <v>24</v>
      </c>
      <c r="N64" s="81">
        <v>2900</v>
      </c>
      <c r="O64" s="81">
        <v>208</v>
      </c>
      <c r="P64" s="82">
        <v>0.23813999999999999</v>
      </c>
      <c r="Q64" s="123"/>
    </row>
    <row r="65" spans="1:17" s="136" customFormat="1" ht="15.95" customHeight="1" thickBot="1" x14ac:dyDescent="0.3">
      <c r="A65" s="156"/>
      <c r="B65" s="84" t="s">
        <v>480</v>
      </c>
      <c r="C65" s="76">
        <v>18.5</v>
      </c>
      <c r="D65" s="77">
        <v>25</v>
      </c>
      <c r="E65" s="76">
        <v>60</v>
      </c>
      <c r="F65" s="77">
        <v>45</v>
      </c>
      <c r="G65" s="92">
        <v>80</v>
      </c>
      <c r="H65" s="259"/>
      <c r="I65" s="236"/>
      <c r="J65" s="255"/>
      <c r="K65" s="309">
        <v>2618.8508688606435</v>
      </c>
      <c r="L65" s="41">
        <v>2806.8508688606435</v>
      </c>
      <c r="M65" s="76" t="s">
        <v>24</v>
      </c>
      <c r="N65" s="81">
        <v>2900</v>
      </c>
      <c r="O65" s="81">
        <v>222</v>
      </c>
      <c r="P65" s="82">
        <v>0.23813999999999999</v>
      </c>
      <c r="Q65" s="123"/>
    </row>
    <row r="66" spans="1:17" s="136" customFormat="1" ht="15.95" customHeight="1" thickBot="1" x14ac:dyDescent="0.3">
      <c r="A66" s="156"/>
      <c r="B66" s="84" t="s">
        <v>481</v>
      </c>
      <c r="C66" s="76">
        <v>18.5</v>
      </c>
      <c r="D66" s="77">
        <v>25</v>
      </c>
      <c r="E66" s="76">
        <v>100</v>
      </c>
      <c r="F66" s="77">
        <v>35</v>
      </c>
      <c r="G66" s="92">
        <v>100</v>
      </c>
      <c r="H66" s="259"/>
      <c r="I66" s="236"/>
      <c r="J66" s="255"/>
      <c r="K66" s="309">
        <v>2618.8508688606435</v>
      </c>
      <c r="L66" s="41">
        <v>2872.8508688606435</v>
      </c>
      <c r="M66" s="76" t="s">
        <v>24</v>
      </c>
      <c r="N66" s="81">
        <v>2900</v>
      </c>
      <c r="O66" s="81">
        <v>222</v>
      </c>
      <c r="P66" s="82">
        <v>0.23813999999999999</v>
      </c>
      <c r="Q66" s="123"/>
    </row>
    <row r="67" spans="1:17" s="136" customFormat="1" ht="15.95" customHeight="1" thickBot="1" x14ac:dyDescent="0.3">
      <c r="B67" s="84" t="s">
        <v>482</v>
      </c>
      <c r="C67" s="76">
        <v>18.5</v>
      </c>
      <c r="D67" s="77">
        <v>25</v>
      </c>
      <c r="E67" s="76">
        <v>130</v>
      </c>
      <c r="F67" s="77">
        <v>25</v>
      </c>
      <c r="G67" s="92">
        <v>150</v>
      </c>
      <c r="H67" s="259"/>
      <c r="I67" s="236"/>
      <c r="J67" s="255"/>
      <c r="K67" s="309">
        <v>2644.4127985412256</v>
      </c>
      <c r="L67" s="41">
        <v>3288.4127985412256</v>
      </c>
      <c r="M67" s="76" t="s">
        <v>24</v>
      </c>
      <c r="N67" s="81">
        <v>2900</v>
      </c>
      <c r="O67" s="81">
        <v>222</v>
      </c>
      <c r="P67" s="82">
        <v>0.23813999999999999</v>
      </c>
      <c r="Q67" s="123"/>
    </row>
    <row r="68" spans="1:17" s="136" customFormat="1" ht="15.95" customHeight="1" thickBot="1" x14ac:dyDescent="0.3">
      <c r="A68" s="131"/>
      <c r="B68" s="84" t="s">
        <v>483</v>
      </c>
      <c r="C68" s="76">
        <v>18.5</v>
      </c>
      <c r="D68" s="77">
        <v>25</v>
      </c>
      <c r="E68" s="76">
        <v>200</v>
      </c>
      <c r="F68" s="77">
        <v>15</v>
      </c>
      <c r="G68" s="92">
        <v>200</v>
      </c>
      <c r="H68" s="259"/>
      <c r="I68" s="236"/>
      <c r="J68" s="255"/>
      <c r="K68" s="309">
        <v>2644.4127985412256</v>
      </c>
      <c r="L68" s="41">
        <v>3739.4127985412256</v>
      </c>
      <c r="M68" s="76" t="s">
        <v>24</v>
      </c>
      <c r="N68" s="81">
        <v>2900</v>
      </c>
      <c r="O68" s="81">
        <v>222</v>
      </c>
      <c r="P68" s="82">
        <v>0.23813999999999999</v>
      </c>
      <c r="Q68" s="123"/>
    </row>
    <row r="69" spans="1:17" s="136" customFormat="1" ht="15.95" customHeight="1" thickBot="1" x14ac:dyDescent="0.3">
      <c r="A69" s="131"/>
      <c r="B69" s="84" t="s">
        <v>484</v>
      </c>
      <c r="C69" s="76">
        <v>22</v>
      </c>
      <c r="D69" s="77">
        <v>30</v>
      </c>
      <c r="E69" s="76">
        <v>60</v>
      </c>
      <c r="F69" s="77">
        <v>50</v>
      </c>
      <c r="G69" s="92">
        <v>80</v>
      </c>
      <c r="H69" s="259"/>
      <c r="I69" s="236"/>
      <c r="J69" s="255"/>
      <c r="K69" s="309">
        <v>2791.2380287796923</v>
      </c>
      <c r="L69" s="41">
        <v>2979.2380287796923</v>
      </c>
      <c r="M69" s="76" t="s">
        <v>24</v>
      </c>
      <c r="N69" s="81">
        <v>2900</v>
      </c>
      <c r="O69" s="81">
        <v>292</v>
      </c>
      <c r="P69" s="82">
        <v>0.30359999999999998</v>
      </c>
      <c r="Q69" s="123"/>
    </row>
    <row r="70" spans="1:17" s="136" customFormat="1" ht="15.95" customHeight="1" thickBot="1" x14ac:dyDescent="0.3">
      <c r="A70" s="131"/>
      <c r="B70" s="29" t="s">
        <v>485</v>
      </c>
      <c r="C70" s="30">
        <v>22</v>
      </c>
      <c r="D70" s="31">
        <v>30</v>
      </c>
      <c r="E70" s="30">
        <v>100</v>
      </c>
      <c r="F70" s="31">
        <v>40</v>
      </c>
      <c r="G70" s="32">
        <v>100</v>
      </c>
      <c r="H70" s="259"/>
      <c r="I70" s="236"/>
      <c r="J70" s="256">
        <v>100591761</v>
      </c>
      <c r="K70" s="308">
        <v>2800</v>
      </c>
      <c r="L70" s="33">
        <v>3054</v>
      </c>
      <c r="M70" s="76" t="s">
        <v>24</v>
      </c>
      <c r="N70" s="81">
        <v>2900</v>
      </c>
      <c r="O70" s="81">
        <v>292</v>
      </c>
      <c r="P70" s="82">
        <v>0.30359999999999998</v>
      </c>
      <c r="Q70" s="123"/>
    </row>
    <row r="71" spans="1:17" s="136" customFormat="1" ht="15.95" customHeight="1" thickBot="1" x14ac:dyDescent="0.3">
      <c r="A71" s="131"/>
      <c r="B71" s="84" t="s">
        <v>486</v>
      </c>
      <c r="C71" s="76">
        <v>22</v>
      </c>
      <c r="D71" s="77">
        <v>30</v>
      </c>
      <c r="E71" s="76">
        <v>130</v>
      </c>
      <c r="F71" s="77">
        <v>30</v>
      </c>
      <c r="G71" s="92">
        <v>150</v>
      </c>
      <c r="H71" s="259"/>
      <c r="I71" s="236"/>
      <c r="J71" s="255"/>
      <c r="K71" s="309">
        <v>2816.7999584602753</v>
      </c>
      <c r="L71" s="41">
        <v>3460.7999584602753</v>
      </c>
      <c r="M71" s="76" t="s">
        <v>24</v>
      </c>
      <c r="N71" s="81">
        <v>2900</v>
      </c>
      <c r="O71" s="81">
        <v>292</v>
      </c>
      <c r="P71" s="82">
        <v>0.30359999999999998</v>
      </c>
      <c r="Q71" s="123"/>
    </row>
    <row r="72" spans="1:17" s="136" customFormat="1" ht="15.95" customHeight="1" thickBot="1" x14ac:dyDescent="0.3">
      <c r="A72" s="131"/>
      <c r="B72" s="84" t="s">
        <v>487</v>
      </c>
      <c r="C72" s="76">
        <v>22</v>
      </c>
      <c r="D72" s="77">
        <v>30</v>
      </c>
      <c r="E72" s="76">
        <v>200</v>
      </c>
      <c r="F72" s="77">
        <v>20</v>
      </c>
      <c r="G72" s="92">
        <v>200</v>
      </c>
      <c r="H72" s="259"/>
      <c r="I72" s="236"/>
      <c r="J72" s="255"/>
      <c r="K72" s="309">
        <v>2816.7999584602753</v>
      </c>
      <c r="L72" s="41">
        <v>3911.7999584602753</v>
      </c>
      <c r="M72" s="76" t="s">
        <v>24</v>
      </c>
      <c r="N72" s="81">
        <v>2900</v>
      </c>
      <c r="O72" s="81">
        <v>292</v>
      </c>
      <c r="P72" s="82">
        <v>0.30359999999999998</v>
      </c>
      <c r="Q72" s="123"/>
    </row>
    <row r="73" spans="1:17" s="136" customFormat="1" ht="15.95" customHeight="1" thickBot="1" x14ac:dyDescent="0.3">
      <c r="A73" s="131"/>
      <c r="B73" s="84" t="s">
        <v>488</v>
      </c>
      <c r="C73" s="76">
        <v>5.5</v>
      </c>
      <c r="D73" s="77">
        <v>7.5</v>
      </c>
      <c r="E73" s="76">
        <v>80</v>
      </c>
      <c r="F73" s="77">
        <v>13</v>
      </c>
      <c r="G73" s="92">
        <v>80</v>
      </c>
      <c r="H73" s="259"/>
      <c r="I73" s="236"/>
      <c r="J73" s="255"/>
      <c r="K73" s="310" t="s">
        <v>28</v>
      </c>
      <c r="L73" s="40" t="s">
        <v>28</v>
      </c>
      <c r="M73" s="76" t="s">
        <v>24</v>
      </c>
      <c r="N73" s="81">
        <v>1450</v>
      </c>
      <c r="O73" s="81"/>
      <c r="P73" s="82"/>
      <c r="Q73" s="123"/>
    </row>
    <row r="74" spans="1:17" s="136" customFormat="1" ht="15.95" customHeight="1" thickBot="1" x14ac:dyDescent="0.3">
      <c r="A74" s="131"/>
      <c r="B74" s="84" t="s">
        <v>489</v>
      </c>
      <c r="C74" s="76">
        <v>5.5</v>
      </c>
      <c r="D74" s="77">
        <v>7.5</v>
      </c>
      <c r="E74" s="76">
        <v>110</v>
      </c>
      <c r="F74" s="77">
        <v>10</v>
      </c>
      <c r="G74" s="92">
        <v>100</v>
      </c>
      <c r="H74" s="259"/>
      <c r="I74" s="236"/>
      <c r="J74" s="255"/>
      <c r="K74" s="309">
        <v>1317.3745710992835</v>
      </c>
      <c r="L74" s="41">
        <v>1571.3745710992835</v>
      </c>
      <c r="M74" s="76" t="s">
        <v>24</v>
      </c>
      <c r="N74" s="81">
        <v>1450</v>
      </c>
      <c r="O74" s="81">
        <v>101</v>
      </c>
      <c r="P74" s="82">
        <v>0.106488</v>
      </c>
      <c r="Q74" s="123"/>
    </row>
    <row r="75" spans="1:17" s="136" customFormat="1" ht="15.95" customHeight="1" thickBot="1" x14ac:dyDescent="0.3">
      <c r="A75" s="131"/>
      <c r="B75" s="84" t="s">
        <v>490</v>
      </c>
      <c r="C75" s="76">
        <v>5.5</v>
      </c>
      <c r="D75" s="77">
        <v>7.5</v>
      </c>
      <c r="E75" s="76">
        <v>150</v>
      </c>
      <c r="F75" s="77">
        <v>7</v>
      </c>
      <c r="G75" s="92">
        <v>150</v>
      </c>
      <c r="H75" s="259"/>
      <c r="I75" s="236"/>
      <c r="J75" s="255"/>
      <c r="K75" s="309">
        <v>1322.0505338457313</v>
      </c>
      <c r="L75" s="41">
        <v>1966.0505338457313</v>
      </c>
      <c r="M75" s="76" t="s">
        <v>24</v>
      </c>
      <c r="N75" s="81">
        <v>1450</v>
      </c>
      <c r="O75" s="81">
        <v>101</v>
      </c>
      <c r="P75" s="82">
        <v>0.106488</v>
      </c>
      <c r="Q75" s="123"/>
    </row>
    <row r="76" spans="1:17" s="136" customFormat="1" ht="15.95" customHeight="1" thickBot="1" x14ac:dyDescent="0.3">
      <c r="A76" s="131"/>
      <c r="B76" s="84" t="s">
        <v>491</v>
      </c>
      <c r="C76" s="76">
        <v>7.5</v>
      </c>
      <c r="D76" s="77">
        <v>10</v>
      </c>
      <c r="E76" s="76">
        <v>80</v>
      </c>
      <c r="F76" s="77">
        <v>20</v>
      </c>
      <c r="G76" s="92">
        <v>80</v>
      </c>
      <c r="H76" s="259"/>
      <c r="I76" s="236"/>
      <c r="J76" s="255"/>
      <c r="K76" s="309">
        <v>1671.5008164302787</v>
      </c>
      <c r="L76" s="41">
        <v>1859.5008164302787</v>
      </c>
      <c r="M76" s="76" t="s">
        <v>24</v>
      </c>
      <c r="N76" s="81">
        <v>1450</v>
      </c>
      <c r="O76" s="81"/>
      <c r="P76" s="82"/>
      <c r="Q76" s="123"/>
    </row>
    <row r="77" spans="1:17" s="136" customFormat="1" ht="15.95" customHeight="1" thickBot="1" x14ac:dyDescent="0.3">
      <c r="A77" s="131"/>
      <c r="B77" s="29" t="s">
        <v>492</v>
      </c>
      <c r="C77" s="76">
        <v>7.5</v>
      </c>
      <c r="D77" s="77">
        <v>10</v>
      </c>
      <c r="E77" s="76">
        <v>100</v>
      </c>
      <c r="F77" s="77">
        <v>15</v>
      </c>
      <c r="G77" s="92">
        <v>100</v>
      </c>
      <c r="H77" s="259"/>
      <c r="I77" s="236"/>
      <c r="J77" s="255">
        <v>100591762</v>
      </c>
      <c r="K77" s="308">
        <v>1671.5008164302787</v>
      </c>
      <c r="L77" s="33">
        <v>1925.5008164302787</v>
      </c>
      <c r="M77" s="76" t="s">
        <v>24</v>
      </c>
      <c r="N77" s="81">
        <v>1450</v>
      </c>
      <c r="O77" s="81">
        <v>120</v>
      </c>
      <c r="P77" s="82">
        <v>0.106488</v>
      </c>
      <c r="Q77" s="123"/>
    </row>
    <row r="78" spans="1:17" s="136" customFormat="1" ht="15.95" customHeight="1" thickBot="1" x14ac:dyDescent="0.3">
      <c r="A78" s="131"/>
      <c r="B78" s="29" t="s">
        <v>493</v>
      </c>
      <c r="C78" s="76">
        <v>7.5</v>
      </c>
      <c r="D78" s="77">
        <v>10</v>
      </c>
      <c r="E78" s="76">
        <v>145</v>
      </c>
      <c r="F78" s="77">
        <v>9</v>
      </c>
      <c r="G78" s="92">
        <v>150</v>
      </c>
      <c r="H78" s="259"/>
      <c r="I78" s="236"/>
      <c r="J78" s="255">
        <v>100601423</v>
      </c>
      <c r="K78" s="308">
        <v>1693</v>
      </c>
      <c r="L78" s="33">
        <v>2337</v>
      </c>
      <c r="M78" s="76" t="s">
        <v>24</v>
      </c>
      <c r="N78" s="81">
        <v>1450</v>
      </c>
      <c r="O78" s="81">
        <v>120</v>
      </c>
      <c r="P78" s="82">
        <v>0.106488</v>
      </c>
      <c r="Q78" s="123"/>
    </row>
    <row r="79" spans="1:17" s="136" customFormat="1" ht="15.95" customHeight="1" thickBot="1" x14ac:dyDescent="0.3">
      <c r="A79" s="131"/>
      <c r="B79" s="29" t="s">
        <v>494</v>
      </c>
      <c r="C79" s="76">
        <v>7.5</v>
      </c>
      <c r="D79" s="77">
        <v>10</v>
      </c>
      <c r="E79" s="76">
        <v>250</v>
      </c>
      <c r="F79" s="77">
        <v>6</v>
      </c>
      <c r="G79" s="92">
        <v>200</v>
      </c>
      <c r="H79" s="259"/>
      <c r="I79" s="236"/>
      <c r="J79" s="255">
        <v>100601461</v>
      </c>
      <c r="K79" s="308">
        <v>1828.9248955606947</v>
      </c>
      <c r="L79" s="33">
        <v>2923.9248955606945</v>
      </c>
      <c r="M79" s="76" t="s">
        <v>24</v>
      </c>
      <c r="N79" s="81">
        <v>1450</v>
      </c>
      <c r="O79" s="81">
        <v>130</v>
      </c>
      <c r="P79" s="82">
        <v>0.14317199999999999</v>
      </c>
      <c r="Q79" s="123"/>
    </row>
    <row r="80" spans="1:17" s="136" customFormat="1" ht="15.95" customHeight="1" thickBot="1" x14ac:dyDescent="0.3">
      <c r="A80" s="131"/>
      <c r="B80" s="39" t="s">
        <v>495</v>
      </c>
      <c r="C80" s="30">
        <v>11</v>
      </c>
      <c r="D80" s="31">
        <v>15</v>
      </c>
      <c r="E80" s="30">
        <v>100</v>
      </c>
      <c r="F80" s="31">
        <v>25</v>
      </c>
      <c r="G80" s="32">
        <v>100</v>
      </c>
      <c r="H80" s="259"/>
      <c r="I80" s="236"/>
      <c r="J80" s="256"/>
      <c r="K80" s="311">
        <v>2400.9510048761667</v>
      </c>
      <c r="L80" s="41">
        <v>2654.9510048761667</v>
      </c>
      <c r="M80" s="76" t="s">
        <v>24</v>
      </c>
      <c r="N80" s="81">
        <v>1450</v>
      </c>
      <c r="O80" s="81"/>
      <c r="P80" s="82"/>
      <c r="Q80" s="123"/>
    </row>
    <row r="81" spans="1:17" s="136" customFormat="1" ht="15.95" customHeight="1" thickBot="1" x14ac:dyDescent="0.3">
      <c r="A81" s="131"/>
      <c r="B81" s="84" t="s">
        <v>496</v>
      </c>
      <c r="C81" s="76">
        <v>11</v>
      </c>
      <c r="D81" s="77">
        <v>15</v>
      </c>
      <c r="E81" s="76">
        <v>180</v>
      </c>
      <c r="F81" s="77">
        <v>11</v>
      </c>
      <c r="G81" s="92">
        <v>150</v>
      </c>
      <c r="H81" s="259"/>
      <c r="I81" s="236"/>
      <c r="J81" s="255"/>
      <c r="K81" s="309">
        <v>2431.8123590027226</v>
      </c>
      <c r="L81" s="41">
        <v>3075.8123590027226</v>
      </c>
      <c r="M81" s="76" t="s">
        <v>24</v>
      </c>
      <c r="N81" s="81">
        <v>1450</v>
      </c>
      <c r="O81" s="81">
        <v>201</v>
      </c>
      <c r="P81" s="82">
        <v>0.220584</v>
      </c>
      <c r="Q81" s="123"/>
    </row>
    <row r="82" spans="1:17" s="136" customFormat="1" ht="15.95" customHeight="1" thickBot="1" x14ac:dyDescent="0.3">
      <c r="A82" s="131"/>
      <c r="B82" s="29" t="s">
        <v>497</v>
      </c>
      <c r="C82" s="76">
        <v>11</v>
      </c>
      <c r="D82" s="77">
        <v>15</v>
      </c>
      <c r="E82" s="76">
        <v>300</v>
      </c>
      <c r="F82" s="77">
        <v>7</v>
      </c>
      <c r="G82" s="92">
        <v>200</v>
      </c>
      <c r="H82" s="259"/>
      <c r="I82" s="236"/>
      <c r="J82" s="255">
        <v>100602613</v>
      </c>
      <c r="K82" s="308">
        <v>2520</v>
      </c>
      <c r="L82" s="33">
        <v>3615</v>
      </c>
      <c r="M82" s="76" t="s">
        <v>24</v>
      </c>
      <c r="N82" s="81">
        <v>1450</v>
      </c>
      <c r="O82" s="81">
        <v>201</v>
      </c>
      <c r="P82" s="82">
        <v>0.22906799999999999</v>
      </c>
      <c r="Q82" s="123"/>
    </row>
    <row r="83" spans="1:17" s="136" customFormat="1" ht="15.95" customHeight="1" thickBot="1" x14ac:dyDescent="0.3">
      <c r="B83" s="84" t="s">
        <v>498</v>
      </c>
      <c r="C83" s="76">
        <v>11</v>
      </c>
      <c r="D83" s="77">
        <v>15</v>
      </c>
      <c r="E83" s="76">
        <v>400</v>
      </c>
      <c r="F83" s="77">
        <v>5</v>
      </c>
      <c r="G83" s="92">
        <v>250</v>
      </c>
      <c r="H83" s="259"/>
      <c r="I83" s="236"/>
      <c r="J83" s="255"/>
      <c r="K83" s="310" t="s">
        <v>28</v>
      </c>
      <c r="L83" s="40" t="s">
        <v>28</v>
      </c>
      <c r="M83" s="76" t="s">
        <v>24</v>
      </c>
      <c r="N83" s="81">
        <v>1450</v>
      </c>
      <c r="O83" s="81"/>
      <c r="P83" s="82"/>
      <c r="Q83" s="123"/>
    </row>
    <row r="84" spans="1:17" s="136" customFormat="1" ht="15.95" customHeight="1" thickBot="1" x14ac:dyDescent="0.3">
      <c r="A84" s="131"/>
      <c r="B84" s="39" t="s">
        <v>499</v>
      </c>
      <c r="C84" s="76">
        <v>15</v>
      </c>
      <c r="D84" s="77">
        <v>20</v>
      </c>
      <c r="E84" s="76">
        <v>100</v>
      </c>
      <c r="F84" s="77">
        <v>30</v>
      </c>
      <c r="G84" s="92">
        <v>100</v>
      </c>
      <c r="H84" s="259"/>
      <c r="I84" s="236"/>
      <c r="J84" s="255"/>
      <c r="K84" s="309">
        <v>2531.2545000771843</v>
      </c>
      <c r="L84" s="41">
        <v>2785.2545000771843</v>
      </c>
      <c r="M84" s="76" t="s">
        <v>24</v>
      </c>
      <c r="N84" s="81">
        <v>1450</v>
      </c>
      <c r="O84" s="81"/>
      <c r="P84" s="82"/>
      <c r="Q84" s="123"/>
    </row>
    <row r="85" spans="1:17" s="136" customFormat="1" ht="15.95" customHeight="1" thickBot="1" x14ac:dyDescent="0.3">
      <c r="A85" s="131"/>
      <c r="B85" s="84" t="s">
        <v>500</v>
      </c>
      <c r="C85" s="76">
        <v>15</v>
      </c>
      <c r="D85" s="77">
        <v>20</v>
      </c>
      <c r="E85" s="76">
        <v>200</v>
      </c>
      <c r="F85" s="77">
        <v>15</v>
      </c>
      <c r="G85" s="92">
        <v>150</v>
      </c>
      <c r="H85" s="259"/>
      <c r="I85" s="236"/>
      <c r="J85" s="255"/>
      <c r="K85" s="309">
        <v>2598.5883636260355</v>
      </c>
      <c r="L85" s="41">
        <v>3242.5883636260355</v>
      </c>
      <c r="M85" s="76" t="s">
        <v>24</v>
      </c>
      <c r="N85" s="81">
        <v>1450</v>
      </c>
      <c r="O85" s="81">
        <v>222</v>
      </c>
      <c r="P85" s="82">
        <v>0.23319999999999999</v>
      </c>
      <c r="Q85" s="123"/>
    </row>
    <row r="86" spans="1:17" s="136" customFormat="1" ht="15.95" customHeight="1" thickBot="1" x14ac:dyDescent="0.3">
      <c r="A86" s="131"/>
      <c r="B86" s="84" t="s">
        <v>501</v>
      </c>
      <c r="C86" s="76">
        <v>15</v>
      </c>
      <c r="D86" s="77">
        <v>20</v>
      </c>
      <c r="E86" s="76">
        <v>250</v>
      </c>
      <c r="F86" s="77">
        <v>11</v>
      </c>
      <c r="G86" s="92">
        <v>200</v>
      </c>
      <c r="H86" s="259"/>
      <c r="I86" s="236"/>
      <c r="J86" s="255"/>
      <c r="K86" s="309">
        <v>2664.675303775834</v>
      </c>
      <c r="L86" s="41">
        <v>3759.675303775834</v>
      </c>
      <c r="M86" s="76" t="s">
        <v>24</v>
      </c>
      <c r="N86" s="81">
        <v>1450</v>
      </c>
      <c r="O86" s="81">
        <v>222</v>
      </c>
      <c r="P86" s="82">
        <v>0.23813999999999999</v>
      </c>
      <c r="Q86" s="123"/>
    </row>
    <row r="87" spans="1:17" s="136" customFormat="1" ht="15.95" customHeight="1" thickBot="1" x14ac:dyDescent="0.3">
      <c r="A87" s="157" t="s">
        <v>502</v>
      </c>
      <c r="B87" s="29" t="s">
        <v>503</v>
      </c>
      <c r="C87" s="240">
        <v>15</v>
      </c>
      <c r="D87" s="241">
        <v>20</v>
      </c>
      <c r="E87" s="240">
        <v>300</v>
      </c>
      <c r="F87" s="241">
        <v>12</v>
      </c>
      <c r="G87" s="242">
        <v>200</v>
      </c>
      <c r="H87" s="259"/>
      <c r="I87" s="236"/>
      <c r="J87" s="257">
        <v>100589865</v>
      </c>
      <c r="K87" s="308">
        <v>2610</v>
      </c>
      <c r="L87" s="33">
        <v>3705</v>
      </c>
      <c r="M87" s="240" t="s">
        <v>24</v>
      </c>
      <c r="N87" s="243">
        <v>1450</v>
      </c>
      <c r="O87" s="243"/>
      <c r="P87" s="244"/>
      <c r="Q87" s="123"/>
    </row>
    <row r="88" spans="1:17" s="136" customFormat="1" ht="15.95" customHeight="1" thickBot="1" x14ac:dyDescent="0.3">
      <c r="A88" s="131"/>
      <c r="B88" s="84" t="s">
        <v>504</v>
      </c>
      <c r="C88" s="76">
        <v>15</v>
      </c>
      <c r="D88" s="77">
        <v>20</v>
      </c>
      <c r="E88" s="76">
        <v>500</v>
      </c>
      <c r="F88" s="77">
        <v>5</v>
      </c>
      <c r="G88" s="92">
        <v>250</v>
      </c>
      <c r="H88" s="259"/>
      <c r="I88" s="236"/>
      <c r="J88" s="255"/>
      <c r="K88" s="310" t="s">
        <v>28</v>
      </c>
      <c r="L88" s="40" t="s">
        <v>28</v>
      </c>
      <c r="M88" s="76" t="s">
        <v>24</v>
      </c>
      <c r="N88" s="81">
        <v>1450</v>
      </c>
      <c r="O88" s="81"/>
      <c r="P88" s="82"/>
      <c r="Q88" s="123"/>
    </row>
    <row r="89" spans="1:17" s="136" customFormat="1" ht="15.95" customHeight="1" thickBot="1" x14ac:dyDescent="0.3">
      <c r="A89" s="131"/>
      <c r="B89" s="84" t="s">
        <v>505</v>
      </c>
      <c r="C89" s="76">
        <v>18.5</v>
      </c>
      <c r="D89" s="77">
        <v>25</v>
      </c>
      <c r="E89" s="76">
        <v>100</v>
      </c>
      <c r="F89" s="77">
        <v>35</v>
      </c>
      <c r="G89" s="92">
        <v>100</v>
      </c>
      <c r="H89" s="259"/>
      <c r="I89" s="236"/>
      <c r="J89" s="255"/>
      <c r="K89" s="309">
        <v>3439.3264654373852</v>
      </c>
      <c r="L89" s="41">
        <v>3693.3264654373852</v>
      </c>
      <c r="M89" s="76" t="s">
        <v>24</v>
      </c>
      <c r="N89" s="81">
        <v>1450</v>
      </c>
      <c r="O89" s="81">
        <v>280</v>
      </c>
      <c r="P89" s="82">
        <v>0.27829999999999999</v>
      </c>
      <c r="Q89" s="123"/>
    </row>
    <row r="90" spans="1:17" s="136" customFormat="1" ht="15.95" customHeight="1" thickBot="1" x14ac:dyDescent="0.3">
      <c r="A90" s="131"/>
      <c r="B90" s="84" t="s">
        <v>506</v>
      </c>
      <c r="C90" s="76">
        <v>18.5</v>
      </c>
      <c r="D90" s="77">
        <v>25</v>
      </c>
      <c r="E90" s="76">
        <v>180</v>
      </c>
      <c r="F90" s="77">
        <v>20</v>
      </c>
      <c r="G90" s="92">
        <v>150</v>
      </c>
      <c r="H90" s="259"/>
      <c r="I90" s="236"/>
      <c r="J90" s="255"/>
      <c r="K90" s="309">
        <v>3439.3264654373852</v>
      </c>
      <c r="L90" s="41">
        <v>4083.3264654373852</v>
      </c>
      <c r="M90" s="76" t="s">
        <v>24</v>
      </c>
      <c r="N90" s="81">
        <v>1450</v>
      </c>
      <c r="O90" s="81">
        <v>286</v>
      </c>
      <c r="P90" s="82">
        <v>0.28842000000000001</v>
      </c>
      <c r="Q90" s="123"/>
    </row>
    <row r="91" spans="1:17" s="136" customFormat="1" ht="15.95" customHeight="1" thickBot="1" x14ac:dyDescent="0.3">
      <c r="A91" s="131"/>
      <c r="B91" s="84" t="s">
        <v>507</v>
      </c>
      <c r="C91" s="76">
        <v>18.5</v>
      </c>
      <c r="D91" s="77">
        <v>25</v>
      </c>
      <c r="E91" s="76">
        <v>300</v>
      </c>
      <c r="F91" s="77">
        <v>10</v>
      </c>
      <c r="G91" s="92">
        <v>200</v>
      </c>
      <c r="H91" s="259"/>
      <c r="I91" s="236"/>
      <c r="J91" s="255"/>
      <c r="K91" s="309">
        <v>3495.1262875449984</v>
      </c>
      <c r="L91" s="41">
        <v>4590.1262875449984</v>
      </c>
      <c r="M91" s="76" t="s">
        <v>24</v>
      </c>
      <c r="N91" s="81">
        <v>1450</v>
      </c>
      <c r="O91" s="81">
        <v>294</v>
      </c>
      <c r="P91" s="82">
        <v>0.32016</v>
      </c>
      <c r="Q91" s="123"/>
    </row>
    <row r="92" spans="1:17" s="136" customFormat="1" ht="15.95" customHeight="1" thickBot="1" x14ac:dyDescent="0.3">
      <c r="A92" s="131"/>
      <c r="B92" s="84" t="s">
        <v>508</v>
      </c>
      <c r="C92" s="76">
        <v>18.5</v>
      </c>
      <c r="D92" s="77">
        <v>25</v>
      </c>
      <c r="E92" s="76">
        <v>500</v>
      </c>
      <c r="F92" s="77">
        <v>7</v>
      </c>
      <c r="G92" s="92">
        <v>250</v>
      </c>
      <c r="H92" s="259"/>
      <c r="I92" s="236"/>
      <c r="J92" s="255"/>
      <c r="K92" s="310" t="s">
        <v>28</v>
      </c>
      <c r="L92" s="40" t="s">
        <v>28</v>
      </c>
      <c r="M92" s="76" t="s">
        <v>24</v>
      </c>
      <c r="N92" s="81">
        <v>1450</v>
      </c>
      <c r="O92" s="81"/>
      <c r="P92" s="82"/>
      <c r="Q92" s="123"/>
    </row>
    <row r="93" spans="1:17" s="136" customFormat="1" ht="15.95" customHeight="1" thickBot="1" x14ac:dyDescent="0.3">
      <c r="A93" s="131"/>
      <c r="B93" s="84" t="s">
        <v>509</v>
      </c>
      <c r="C93" s="76">
        <v>18.5</v>
      </c>
      <c r="D93" s="77">
        <v>25</v>
      </c>
      <c r="E93" s="76">
        <v>650</v>
      </c>
      <c r="F93" s="77">
        <v>5</v>
      </c>
      <c r="G93" s="92">
        <v>300</v>
      </c>
      <c r="H93" s="259"/>
      <c r="I93" s="236"/>
      <c r="J93" s="255"/>
      <c r="K93" s="310" t="s">
        <v>28</v>
      </c>
      <c r="L93" s="40" t="s">
        <v>28</v>
      </c>
      <c r="M93" s="76" t="s">
        <v>24</v>
      </c>
      <c r="N93" s="81">
        <v>1450</v>
      </c>
      <c r="O93" s="81"/>
      <c r="P93" s="82"/>
      <c r="Q93" s="123"/>
    </row>
    <row r="94" spans="1:17" s="136" customFormat="1" ht="15.95" customHeight="1" thickBot="1" x14ac:dyDescent="0.3">
      <c r="A94" s="131"/>
      <c r="B94" s="39" t="s">
        <v>510</v>
      </c>
      <c r="C94" s="30">
        <v>22</v>
      </c>
      <c r="D94" s="31">
        <v>30</v>
      </c>
      <c r="E94" s="30">
        <v>100</v>
      </c>
      <c r="F94" s="31">
        <v>40</v>
      </c>
      <c r="G94" s="32">
        <v>100</v>
      </c>
      <c r="H94" s="259"/>
      <c r="I94" s="236"/>
      <c r="J94" s="256"/>
      <c r="K94" s="311">
        <v>3733.2886567640826</v>
      </c>
      <c r="L94" s="41">
        <v>3987.2886567640826</v>
      </c>
      <c r="M94" s="76" t="s">
        <v>24</v>
      </c>
      <c r="N94" s="81">
        <v>1450</v>
      </c>
      <c r="O94" s="81">
        <v>292</v>
      </c>
      <c r="P94" s="82">
        <v>0.30359999999999998</v>
      </c>
      <c r="Q94" s="123"/>
    </row>
    <row r="95" spans="1:17" s="136" customFormat="1" ht="15.95" customHeight="1" thickBot="1" x14ac:dyDescent="0.3">
      <c r="A95" s="131"/>
      <c r="B95" s="84" t="s">
        <v>511</v>
      </c>
      <c r="C95" s="76">
        <v>22</v>
      </c>
      <c r="D95" s="77">
        <v>30</v>
      </c>
      <c r="E95" s="76">
        <v>200</v>
      </c>
      <c r="F95" s="77">
        <v>22</v>
      </c>
      <c r="G95" s="92">
        <v>150</v>
      </c>
      <c r="H95" s="259"/>
      <c r="I95" s="236"/>
      <c r="J95" s="255"/>
      <c r="K95" s="309">
        <v>3794.0761724679073</v>
      </c>
      <c r="L95" s="41">
        <v>4438.0761724679069</v>
      </c>
      <c r="M95" s="76" t="s">
        <v>24</v>
      </c>
      <c r="N95" s="81">
        <v>1450</v>
      </c>
      <c r="O95" s="81">
        <v>307</v>
      </c>
      <c r="P95" s="82">
        <v>0.3135</v>
      </c>
      <c r="Q95" s="123"/>
    </row>
    <row r="96" spans="1:17" s="136" customFormat="1" ht="15.95" customHeight="1" thickBot="1" x14ac:dyDescent="0.3">
      <c r="A96" s="131"/>
      <c r="B96" s="84" t="s">
        <v>512</v>
      </c>
      <c r="C96" s="76">
        <v>22</v>
      </c>
      <c r="D96" s="77">
        <v>30</v>
      </c>
      <c r="E96" s="76">
        <v>300</v>
      </c>
      <c r="F96" s="77">
        <v>16</v>
      </c>
      <c r="G96" s="92">
        <v>200</v>
      </c>
      <c r="H96" s="259"/>
      <c r="I96" s="236"/>
      <c r="J96" s="255"/>
      <c r="K96" s="309">
        <v>3849.875994575521</v>
      </c>
      <c r="L96" s="41">
        <v>4944.875994575521</v>
      </c>
      <c r="M96" s="76" t="s">
        <v>24</v>
      </c>
      <c r="N96" s="81">
        <v>1450</v>
      </c>
      <c r="O96" s="81">
        <v>324</v>
      </c>
      <c r="P96" s="82">
        <v>0.32016</v>
      </c>
      <c r="Q96" s="123"/>
    </row>
    <row r="97" spans="1:17" s="136" customFormat="1" ht="15.95" customHeight="1" thickBot="1" x14ac:dyDescent="0.3">
      <c r="A97" s="131"/>
      <c r="B97" s="84" t="s">
        <v>513</v>
      </c>
      <c r="C97" s="76">
        <v>22</v>
      </c>
      <c r="D97" s="77">
        <v>30</v>
      </c>
      <c r="E97" s="76">
        <v>500</v>
      </c>
      <c r="F97" s="77">
        <v>9</v>
      </c>
      <c r="G97" s="92">
        <v>250</v>
      </c>
      <c r="H97" s="259"/>
      <c r="I97" s="236"/>
      <c r="J97" s="255"/>
      <c r="K97" s="309">
        <v>3849.875994575521</v>
      </c>
      <c r="L97" s="41">
        <v>5030.875994575521</v>
      </c>
      <c r="M97" s="76" t="s">
        <v>24</v>
      </c>
      <c r="N97" s="81">
        <v>1450</v>
      </c>
      <c r="O97" s="81">
        <v>300</v>
      </c>
      <c r="P97" s="82">
        <v>0.32016</v>
      </c>
      <c r="Q97" s="123"/>
    </row>
    <row r="98" spans="1:17" s="136" customFormat="1" ht="15.95" customHeight="1" thickBot="1" x14ac:dyDescent="0.3">
      <c r="A98" s="131"/>
      <c r="B98" s="84" t="s">
        <v>514</v>
      </c>
      <c r="C98" s="76">
        <v>22</v>
      </c>
      <c r="D98" s="77">
        <v>30</v>
      </c>
      <c r="E98" s="76">
        <v>650</v>
      </c>
      <c r="F98" s="77">
        <v>7</v>
      </c>
      <c r="G98" s="92">
        <v>300</v>
      </c>
      <c r="H98" s="259"/>
      <c r="I98" s="236"/>
      <c r="J98" s="255"/>
      <c r="K98" s="310" t="s">
        <v>28</v>
      </c>
      <c r="L98" s="40" t="s">
        <v>28</v>
      </c>
      <c r="M98" s="76" t="s">
        <v>24</v>
      </c>
      <c r="N98" s="81">
        <v>1450</v>
      </c>
      <c r="O98" s="81"/>
      <c r="P98" s="82"/>
      <c r="Q98" s="123"/>
    </row>
    <row r="99" spans="1:17" s="136" customFormat="1" ht="15.95" customHeight="1" thickBot="1" x14ac:dyDescent="0.3">
      <c r="A99" s="131"/>
      <c r="B99" s="84" t="s">
        <v>515</v>
      </c>
      <c r="C99" s="76">
        <v>30</v>
      </c>
      <c r="D99" s="77">
        <v>40</v>
      </c>
      <c r="E99" s="76">
        <v>120</v>
      </c>
      <c r="F99" s="77">
        <v>45</v>
      </c>
      <c r="G99" s="92">
        <v>100</v>
      </c>
      <c r="H99" s="259"/>
      <c r="I99" s="236"/>
      <c r="J99" s="255"/>
      <c r="K99" s="310" t="s">
        <v>28</v>
      </c>
      <c r="L99" s="40" t="s">
        <v>28</v>
      </c>
      <c r="M99" s="76" t="s">
        <v>24</v>
      </c>
      <c r="N99" s="81">
        <v>1450</v>
      </c>
      <c r="O99" s="81"/>
      <c r="P99" s="82"/>
      <c r="Q99" s="123"/>
    </row>
    <row r="100" spans="1:17" s="136" customFormat="1" ht="15.95" customHeight="1" thickBot="1" x14ac:dyDescent="0.3">
      <c r="A100" s="131"/>
      <c r="B100" s="84" t="s">
        <v>516</v>
      </c>
      <c r="C100" s="76">
        <v>30</v>
      </c>
      <c r="D100" s="77">
        <v>40</v>
      </c>
      <c r="E100" s="76">
        <v>180</v>
      </c>
      <c r="F100" s="77">
        <v>30</v>
      </c>
      <c r="G100" s="92">
        <v>150</v>
      </c>
      <c r="H100" s="259"/>
      <c r="I100" s="236"/>
      <c r="J100" s="255"/>
      <c r="K100" s="309">
        <v>4969.3014760751712</v>
      </c>
      <c r="L100" s="41">
        <v>5613.3014760751712</v>
      </c>
      <c r="M100" s="76" t="s">
        <v>24</v>
      </c>
      <c r="N100" s="81">
        <v>1450</v>
      </c>
      <c r="O100" s="81">
        <v>440</v>
      </c>
      <c r="P100" s="82">
        <v>0.48262500000000003</v>
      </c>
      <c r="Q100" s="123"/>
    </row>
    <row r="101" spans="1:17" s="136" customFormat="1" ht="15.95" customHeight="1" thickBot="1" x14ac:dyDescent="0.3">
      <c r="A101" s="131"/>
      <c r="B101" s="84" t="s">
        <v>517</v>
      </c>
      <c r="C101" s="76">
        <v>30</v>
      </c>
      <c r="D101" s="77">
        <v>40</v>
      </c>
      <c r="E101" s="76">
        <v>250</v>
      </c>
      <c r="F101" s="77">
        <v>22</v>
      </c>
      <c r="G101" s="92">
        <v>200</v>
      </c>
      <c r="H101" s="259"/>
      <c r="I101" s="236"/>
      <c r="J101" s="255"/>
      <c r="K101" s="309">
        <v>5161.9511412288302</v>
      </c>
      <c r="L101" s="41">
        <v>6256.9511412288302</v>
      </c>
      <c r="M101" s="76" t="s">
        <v>24</v>
      </c>
      <c r="N101" s="81">
        <v>1450</v>
      </c>
      <c r="O101" s="81">
        <v>440</v>
      </c>
      <c r="P101" s="82">
        <v>0.51556500000000005</v>
      </c>
      <c r="Q101" s="123"/>
    </row>
    <row r="102" spans="1:17" s="136" customFormat="1" ht="15.95" customHeight="1" thickBot="1" x14ac:dyDescent="0.3">
      <c r="A102" s="131"/>
      <c r="B102" s="84" t="s">
        <v>518</v>
      </c>
      <c r="C102" s="76">
        <v>30</v>
      </c>
      <c r="D102" s="77">
        <v>40</v>
      </c>
      <c r="E102" s="76">
        <v>500</v>
      </c>
      <c r="F102" s="77">
        <v>14</v>
      </c>
      <c r="G102" s="92">
        <v>250</v>
      </c>
      <c r="H102" s="259"/>
      <c r="I102" s="236"/>
      <c r="J102" s="255"/>
      <c r="K102" s="309">
        <v>5349.3013819365124</v>
      </c>
      <c r="L102" s="41">
        <v>6530.3013819365124</v>
      </c>
      <c r="M102" s="76" t="s">
        <v>24</v>
      </c>
      <c r="N102" s="81">
        <v>1450</v>
      </c>
      <c r="O102" s="81">
        <v>440</v>
      </c>
      <c r="P102" s="82">
        <v>0.56279999999999997</v>
      </c>
      <c r="Q102" s="123"/>
    </row>
    <row r="103" spans="1:17" s="136" customFormat="1" ht="15.95" customHeight="1" thickBot="1" x14ac:dyDescent="0.3">
      <c r="A103" s="131"/>
      <c r="B103" s="84" t="s">
        <v>519</v>
      </c>
      <c r="C103" s="76">
        <v>30</v>
      </c>
      <c r="D103" s="77">
        <v>40</v>
      </c>
      <c r="E103" s="76">
        <v>800</v>
      </c>
      <c r="F103" s="77">
        <v>7</v>
      </c>
      <c r="G103" s="92">
        <v>300</v>
      </c>
      <c r="H103" s="259"/>
      <c r="I103" s="236"/>
      <c r="J103" s="255"/>
      <c r="K103" s="309">
        <v>5582.4760575593846</v>
      </c>
      <c r="L103" s="41">
        <v>7328.4760575593846</v>
      </c>
      <c r="M103" s="76" t="s">
        <v>24</v>
      </c>
      <c r="N103" s="81">
        <v>1450</v>
      </c>
      <c r="O103" s="81">
        <v>440</v>
      </c>
      <c r="P103" s="82">
        <v>0.56279999999999997</v>
      </c>
      <c r="Q103" s="123"/>
    </row>
    <row r="104" spans="1:17" s="136" customFormat="1" ht="15.95" customHeight="1" thickBot="1" x14ac:dyDescent="0.3">
      <c r="A104" s="131"/>
      <c r="B104" s="84" t="s">
        <v>520</v>
      </c>
      <c r="C104" s="76">
        <v>37</v>
      </c>
      <c r="D104" s="77">
        <v>50</v>
      </c>
      <c r="E104" s="76">
        <v>120</v>
      </c>
      <c r="F104" s="77">
        <v>50</v>
      </c>
      <c r="G104" s="92">
        <v>100</v>
      </c>
      <c r="H104" s="259"/>
      <c r="I104" s="236"/>
      <c r="J104" s="255"/>
      <c r="K104" s="310" t="s">
        <v>28</v>
      </c>
      <c r="L104" s="40" t="s">
        <v>28</v>
      </c>
      <c r="M104" s="76" t="s">
        <v>24</v>
      </c>
      <c r="N104" s="81">
        <v>1450</v>
      </c>
      <c r="O104" s="81"/>
      <c r="P104" s="82"/>
      <c r="Q104" s="123"/>
    </row>
    <row r="105" spans="1:17" s="136" customFormat="1" ht="15.95" customHeight="1" thickBot="1" x14ac:dyDescent="0.3">
      <c r="A105" s="131"/>
      <c r="B105" s="84" t="s">
        <v>521</v>
      </c>
      <c r="C105" s="76">
        <v>37</v>
      </c>
      <c r="D105" s="77">
        <v>50</v>
      </c>
      <c r="E105" s="76">
        <v>200</v>
      </c>
      <c r="F105" s="77">
        <v>35</v>
      </c>
      <c r="G105" s="92">
        <v>150</v>
      </c>
      <c r="H105" s="259"/>
      <c r="I105" s="236"/>
      <c r="J105" s="255"/>
      <c r="K105" s="310" t="s">
        <v>28</v>
      </c>
      <c r="L105" s="40" t="s">
        <v>28</v>
      </c>
      <c r="M105" s="76" t="s">
        <v>24</v>
      </c>
      <c r="N105" s="81">
        <v>1450</v>
      </c>
      <c r="O105" s="81">
        <v>500</v>
      </c>
      <c r="P105" s="82">
        <v>0.57486000000000004</v>
      </c>
      <c r="Q105" s="123"/>
    </row>
    <row r="106" spans="1:17" s="136" customFormat="1" ht="15.95" customHeight="1" thickBot="1" x14ac:dyDescent="0.3">
      <c r="A106" s="131"/>
      <c r="B106" s="84" t="s">
        <v>522</v>
      </c>
      <c r="C106" s="76">
        <v>37</v>
      </c>
      <c r="D106" s="77">
        <v>50</v>
      </c>
      <c r="E106" s="76">
        <v>300</v>
      </c>
      <c r="F106" s="77">
        <v>28</v>
      </c>
      <c r="G106" s="92">
        <v>200</v>
      </c>
      <c r="H106" s="259"/>
      <c r="I106" s="236"/>
      <c r="J106" s="255"/>
      <c r="K106" s="310" t="s">
        <v>28</v>
      </c>
      <c r="L106" s="40" t="s">
        <v>28</v>
      </c>
      <c r="M106" s="76" t="s">
        <v>24</v>
      </c>
      <c r="N106" s="81">
        <v>1450</v>
      </c>
      <c r="O106" s="81">
        <v>500</v>
      </c>
      <c r="P106" s="82">
        <v>0.57486000000000004</v>
      </c>
      <c r="Q106" s="123"/>
    </row>
    <row r="107" spans="1:17" s="136" customFormat="1" ht="15.95" customHeight="1" thickBot="1" x14ac:dyDescent="0.3">
      <c r="A107" s="131"/>
      <c r="B107" s="84" t="s">
        <v>523</v>
      </c>
      <c r="C107" s="76">
        <v>37</v>
      </c>
      <c r="D107" s="77">
        <v>50</v>
      </c>
      <c r="E107" s="76">
        <v>600</v>
      </c>
      <c r="F107" s="77">
        <v>12</v>
      </c>
      <c r="G107" s="92">
        <v>250</v>
      </c>
      <c r="H107" s="259"/>
      <c r="I107" s="236"/>
      <c r="J107" s="255">
        <v>100601253</v>
      </c>
      <c r="K107" s="310" t="s">
        <v>28</v>
      </c>
      <c r="L107" s="40" t="s">
        <v>28</v>
      </c>
      <c r="M107" s="76" t="s">
        <v>24</v>
      </c>
      <c r="N107" s="81">
        <v>1450</v>
      </c>
      <c r="O107" s="81">
        <v>500</v>
      </c>
      <c r="P107" s="82">
        <v>0.57486000000000004</v>
      </c>
      <c r="Q107" s="123"/>
    </row>
    <row r="108" spans="1:17" s="136" customFormat="1" ht="15.95" customHeight="1" thickBot="1" x14ac:dyDescent="0.3">
      <c r="A108" s="131"/>
      <c r="B108" s="84" t="s">
        <v>524</v>
      </c>
      <c r="C108" s="76">
        <v>37</v>
      </c>
      <c r="D108" s="77">
        <v>50</v>
      </c>
      <c r="E108" s="76">
        <v>800</v>
      </c>
      <c r="F108" s="77">
        <v>9</v>
      </c>
      <c r="G108" s="92">
        <v>300</v>
      </c>
      <c r="H108" s="259"/>
      <c r="I108" s="236"/>
      <c r="J108" s="255"/>
      <c r="K108" s="310" t="s">
        <v>28</v>
      </c>
      <c r="L108" s="40" t="s">
        <v>28</v>
      </c>
      <c r="M108" s="76" t="s">
        <v>24</v>
      </c>
      <c r="N108" s="81">
        <v>1450</v>
      </c>
      <c r="O108" s="81">
        <v>500</v>
      </c>
      <c r="P108" s="82">
        <v>0.57486000000000004</v>
      </c>
      <c r="Q108" s="123"/>
    </row>
    <row r="109" spans="1:17" s="136" customFormat="1" ht="15.95" customHeight="1" thickBot="1" x14ac:dyDescent="0.3">
      <c r="A109" s="131"/>
      <c r="B109" s="84" t="s">
        <v>525</v>
      </c>
      <c r="C109" s="76">
        <v>37</v>
      </c>
      <c r="D109" s="77">
        <v>80</v>
      </c>
      <c r="E109" s="76">
        <v>1000</v>
      </c>
      <c r="F109" s="77">
        <v>6</v>
      </c>
      <c r="G109" s="92">
        <v>350</v>
      </c>
      <c r="H109" s="259"/>
      <c r="I109" s="236"/>
      <c r="J109" s="255"/>
      <c r="K109" s="310" t="s">
        <v>28</v>
      </c>
      <c r="L109" s="40" t="s">
        <v>28</v>
      </c>
      <c r="M109" s="76" t="s">
        <v>24</v>
      </c>
      <c r="N109" s="81">
        <v>1450</v>
      </c>
      <c r="O109" s="81"/>
      <c r="P109" s="82"/>
      <c r="Q109" s="123"/>
    </row>
    <row r="110" spans="1:17" s="136" customFormat="1" ht="15.95" customHeight="1" thickBot="1" x14ac:dyDescent="0.3">
      <c r="A110" s="131"/>
      <c r="B110" s="84" t="s">
        <v>526</v>
      </c>
      <c r="C110" s="76">
        <v>45</v>
      </c>
      <c r="D110" s="77">
        <v>60</v>
      </c>
      <c r="E110" s="76">
        <v>100</v>
      </c>
      <c r="F110" s="77">
        <v>57</v>
      </c>
      <c r="G110" s="92">
        <v>100</v>
      </c>
      <c r="H110" s="259"/>
      <c r="I110" s="236"/>
      <c r="J110" s="255"/>
      <c r="K110" s="310" t="s">
        <v>28</v>
      </c>
      <c r="L110" s="40" t="s">
        <v>28</v>
      </c>
      <c r="M110" s="76" t="s">
        <v>24</v>
      </c>
      <c r="N110" s="81">
        <v>1450</v>
      </c>
      <c r="O110" s="81"/>
      <c r="P110" s="82"/>
      <c r="Q110" s="123"/>
    </row>
    <row r="111" spans="1:17" s="136" customFormat="1" ht="15.95" customHeight="1" thickBot="1" x14ac:dyDescent="0.3">
      <c r="A111" s="131"/>
      <c r="B111" s="84" t="s">
        <v>527</v>
      </c>
      <c r="C111" s="76">
        <v>45</v>
      </c>
      <c r="D111" s="77">
        <v>60</v>
      </c>
      <c r="E111" s="76">
        <v>200</v>
      </c>
      <c r="F111" s="77">
        <v>40</v>
      </c>
      <c r="G111" s="92">
        <v>150</v>
      </c>
      <c r="H111" s="259"/>
      <c r="I111" s="236"/>
      <c r="J111" s="255"/>
      <c r="K111" s="310" t="s">
        <v>28</v>
      </c>
      <c r="L111" s="40" t="s">
        <v>28</v>
      </c>
      <c r="M111" s="76" t="s">
        <v>24</v>
      </c>
      <c r="N111" s="81">
        <v>1450</v>
      </c>
      <c r="O111" s="81"/>
      <c r="P111" s="82"/>
      <c r="Q111" s="123"/>
    </row>
    <row r="112" spans="1:17" s="136" customFormat="1" ht="15.95" customHeight="1" thickBot="1" x14ac:dyDescent="0.3">
      <c r="A112" s="131"/>
      <c r="B112" s="84" t="s">
        <v>528</v>
      </c>
      <c r="C112" s="76">
        <v>45</v>
      </c>
      <c r="D112" s="77">
        <v>60</v>
      </c>
      <c r="E112" s="76">
        <v>300</v>
      </c>
      <c r="F112" s="77">
        <v>32</v>
      </c>
      <c r="G112" s="92">
        <v>200</v>
      </c>
      <c r="H112" s="259"/>
      <c r="I112" s="236"/>
      <c r="J112" s="255"/>
      <c r="K112" s="310" t="s">
        <v>28</v>
      </c>
      <c r="L112" s="40" t="s">
        <v>28</v>
      </c>
      <c r="M112" s="76" t="s">
        <v>24</v>
      </c>
      <c r="N112" s="81">
        <v>1450</v>
      </c>
      <c r="O112" s="81">
        <v>580</v>
      </c>
      <c r="P112" s="82">
        <v>0.77398400000000001</v>
      </c>
      <c r="Q112" s="123"/>
    </row>
    <row r="113" spans="1:17" s="136" customFormat="1" ht="15.95" customHeight="1" thickBot="1" x14ac:dyDescent="0.3">
      <c r="A113" s="131"/>
      <c r="B113" s="84" t="s">
        <v>529</v>
      </c>
      <c r="C113" s="76">
        <v>45</v>
      </c>
      <c r="D113" s="77">
        <v>60</v>
      </c>
      <c r="E113" s="76">
        <v>600</v>
      </c>
      <c r="F113" s="77">
        <v>15</v>
      </c>
      <c r="G113" s="92">
        <v>250</v>
      </c>
      <c r="H113" s="259"/>
      <c r="I113" s="236"/>
      <c r="J113" s="255"/>
      <c r="K113" s="310" t="s">
        <v>28</v>
      </c>
      <c r="L113" s="40" t="s">
        <v>28</v>
      </c>
      <c r="M113" s="76" t="s">
        <v>24</v>
      </c>
      <c r="N113" s="81">
        <v>1450</v>
      </c>
      <c r="O113" s="81">
        <v>590</v>
      </c>
      <c r="P113" s="82">
        <v>0.77398400000000001</v>
      </c>
      <c r="Q113" s="123"/>
    </row>
    <row r="114" spans="1:17" s="136" customFormat="1" ht="15.95" customHeight="1" thickBot="1" x14ac:dyDescent="0.3">
      <c r="A114" s="131"/>
      <c r="B114" s="84" t="s">
        <v>530</v>
      </c>
      <c r="C114" s="76">
        <v>45</v>
      </c>
      <c r="D114" s="77">
        <v>60</v>
      </c>
      <c r="E114" s="76">
        <v>800</v>
      </c>
      <c r="F114" s="77">
        <v>12</v>
      </c>
      <c r="G114" s="92">
        <v>300</v>
      </c>
      <c r="H114" s="259"/>
      <c r="I114" s="236"/>
      <c r="J114" s="255">
        <v>100601891</v>
      </c>
      <c r="K114" s="310" t="s">
        <v>28</v>
      </c>
      <c r="L114" s="40" t="s">
        <v>28</v>
      </c>
      <c r="M114" s="76" t="s">
        <v>24</v>
      </c>
      <c r="N114" s="81">
        <v>1450</v>
      </c>
      <c r="O114" s="81">
        <v>590</v>
      </c>
      <c r="P114" s="82">
        <v>0.77398400000000001</v>
      </c>
      <c r="Q114" s="123"/>
    </row>
    <row r="115" spans="1:17" s="136" customFormat="1" ht="15.95" customHeight="1" thickBot="1" x14ac:dyDescent="0.3">
      <c r="A115" s="131"/>
      <c r="B115" s="84" t="s">
        <v>531</v>
      </c>
      <c r="C115" s="76">
        <v>45</v>
      </c>
      <c r="D115" s="77">
        <v>60</v>
      </c>
      <c r="E115" s="76">
        <v>1200</v>
      </c>
      <c r="F115" s="77">
        <v>8</v>
      </c>
      <c r="G115" s="92">
        <v>350</v>
      </c>
      <c r="H115" s="259"/>
      <c r="I115" s="236"/>
      <c r="J115" s="255"/>
      <c r="K115" s="310" t="s">
        <v>28</v>
      </c>
      <c r="L115" s="40" t="s">
        <v>28</v>
      </c>
      <c r="M115" s="76" t="s">
        <v>24</v>
      </c>
      <c r="N115" s="81">
        <v>1450</v>
      </c>
      <c r="O115" s="81"/>
      <c r="P115" s="82"/>
      <c r="Q115" s="123"/>
    </row>
    <row r="116" spans="1:17" s="136" customFormat="1" ht="15.95" customHeight="1" thickBot="1" x14ac:dyDescent="0.3">
      <c r="A116" s="131"/>
      <c r="B116" s="84" t="s">
        <v>532</v>
      </c>
      <c r="C116" s="76">
        <v>55</v>
      </c>
      <c r="D116" s="77">
        <v>75</v>
      </c>
      <c r="E116" s="76">
        <v>100</v>
      </c>
      <c r="F116" s="77">
        <v>65</v>
      </c>
      <c r="G116" s="92">
        <v>100</v>
      </c>
      <c r="H116" s="259"/>
      <c r="I116" s="236"/>
      <c r="J116" s="255"/>
      <c r="K116" s="310" t="s">
        <v>28</v>
      </c>
      <c r="L116" s="40" t="s">
        <v>28</v>
      </c>
      <c r="M116" s="76" t="s">
        <v>24</v>
      </c>
      <c r="N116" s="81">
        <v>1450</v>
      </c>
      <c r="O116" s="81"/>
      <c r="P116" s="82"/>
      <c r="Q116" s="123"/>
    </row>
    <row r="117" spans="1:17" s="136" customFormat="1" ht="15.95" customHeight="1" thickBot="1" x14ac:dyDescent="0.3">
      <c r="A117" s="131"/>
      <c r="B117" s="84" t="s">
        <v>533</v>
      </c>
      <c r="C117" s="76">
        <v>55</v>
      </c>
      <c r="D117" s="77">
        <v>75</v>
      </c>
      <c r="E117" s="76">
        <v>180</v>
      </c>
      <c r="F117" s="77">
        <v>50</v>
      </c>
      <c r="G117" s="92">
        <v>150</v>
      </c>
      <c r="H117" s="259"/>
      <c r="I117" s="236"/>
      <c r="J117" s="255"/>
      <c r="K117" s="310" t="s">
        <v>28</v>
      </c>
      <c r="L117" s="40" t="s">
        <v>28</v>
      </c>
      <c r="M117" s="76" t="s">
        <v>24</v>
      </c>
      <c r="N117" s="81">
        <v>1450</v>
      </c>
      <c r="O117" s="81"/>
      <c r="P117" s="82"/>
      <c r="Q117" s="123"/>
    </row>
    <row r="118" spans="1:17" s="136" customFormat="1" ht="15.95" customHeight="1" thickBot="1" x14ac:dyDescent="0.3">
      <c r="A118" s="131"/>
      <c r="B118" s="84" t="s">
        <v>534</v>
      </c>
      <c r="C118" s="76">
        <v>55</v>
      </c>
      <c r="D118" s="77">
        <v>75</v>
      </c>
      <c r="E118" s="76">
        <v>300</v>
      </c>
      <c r="F118" s="77">
        <v>40</v>
      </c>
      <c r="G118" s="92">
        <v>200</v>
      </c>
      <c r="H118" s="259"/>
      <c r="I118" s="236"/>
      <c r="J118" s="255"/>
      <c r="K118" s="310" t="s">
        <v>28</v>
      </c>
      <c r="L118" s="40" t="s">
        <v>28</v>
      </c>
      <c r="M118" s="76" t="s">
        <v>24</v>
      </c>
      <c r="N118" s="81">
        <v>1450</v>
      </c>
      <c r="O118" s="81">
        <v>790</v>
      </c>
      <c r="P118" s="82">
        <v>0.94010000000000005</v>
      </c>
      <c r="Q118" s="123"/>
    </row>
    <row r="119" spans="1:17" s="136" customFormat="1" ht="15.95" customHeight="1" thickBot="1" x14ac:dyDescent="0.3">
      <c r="A119" s="131"/>
      <c r="B119" s="84" t="s">
        <v>535</v>
      </c>
      <c r="C119" s="76">
        <v>55</v>
      </c>
      <c r="D119" s="77">
        <v>75</v>
      </c>
      <c r="E119" s="76">
        <v>600</v>
      </c>
      <c r="F119" s="77">
        <v>20</v>
      </c>
      <c r="G119" s="92">
        <v>250</v>
      </c>
      <c r="H119" s="259"/>
      <c r="I119" s="236"/>
      <c r="J119" s="255"/>
      <c r="K119" s="310" t="s">
        <v>28</v>
      </c>
      <c r="L119" s="40" t="s">
        <v>28</v>
      </c>
      <c r="M119" s="76" t="s">
        <v>24</v>
      </c>
      <c r="N119" s="81">
        <v>1450</v>
      </c>
      <c r="O119" s="81">
        <v>790</v>
      </c>
      <c r="P119" s="82">
        <v>0.94010000000000005</v>
      </c>
      <c r="Q119" s="123"/>
    </row>
    <row r="120" spans="1:17" s="152" customFormat="1" ht="15.95" customHeight="1" thickBot="1" x14ac:dyDescent="0.3">
      <c r="A120" s="151"/>
      <c r="B120" s="84" t="s">
        <v>536</v>
      </c>
      <c r="C120" s="76">
        <v>55</v>
      </c>
      <c r="D120" s="77">
        <v>75</v>
      </c>
      <c r="E120" s="76">
        <v>800</v>
      </c>
      <c r="F120" s="77">
        <v>15</v>
      </c>
      <c r="G120" s="92">
        <v>300</v>
      </c>
      <c r="H120" s="259"/>
      <c r="I120" s="236"/>
      <c r="J120" s="255">
        <v>100601896</v>
      </c>
      <c r="K120" s="310" t="s">
        <v>28</v>
      </c>
      <c r="L120" s="40" t="s">
        <v>28</v>
      </c>
      <c r="M120" s="76" t="s">
        <v>24</v>
      </c>
      <c r="N120" s="81">
        <v>1450</v>
      </c>
      <c r="O120" s="81">
        <v>800</v>
      </c>
      <c r="P120" s="82">
        <v>0.94010000000000005</v>
      </c>
      <c r="Q120" s="123"/>
    </row>
    <row r="121" spans="1:17" s="152" customFormat="1" ht="15.95" customHeight="1" thickBot="1" x14ac:dyDescent="0.3">
      <c r="A121" s="151"/>
      <c r="B121" s="84" t="s">
        <v>537</v>
      </c>
      <c r="C121" s="76">
        <v>55</v>
      </c>
      <c r="D121" s="77">
        <v>75</v>
      </c>
      <c r="E121" s="76">
        <v>1000</v>
      </c>
      <c r="F121" s="77">
        <v>10</v>
      </c>
      <c r="G121" s="92">
        <v>350</v>
      </c>
      <c r="H121" s="259"/>
      <c r="I121" s="236"/>
      <c r="J121" s="255"/>
      <c r="K121" s="310" t="s">
        <v>28</v>
      </c>
      <c r="L121" s="40" t="s">
        <v>28</v>
      </c>
      <c r="M121" s="76" t="s">
        <v>24</v>
      </c>
      <c r="N121" s="81">
        <v>1450</v>
      </c>
      <c r="O121" s="81"/>
      <c r="P121" s="82"/>
      <c r="Q121" s="123"/>
    </row>
    <row r="122" spans="1:17" s="152" customFormat="1" ht="15.95" customHeight="1" thickBot="1" x14ac:dyDescent="0.3">
      <c r="A122" s="151"/>
      <c r="B122" s="84" t="s">
        <v>538</v>
      </c>
      <c r="C122" s="76">
        <v>75</v>
      </c>
      <c r="D122" s="77">
        <v>100</v>
      </c>
      <c r="E122" s="76">
        <v>120</v>
      </c>
      <c r="F122" s="77">
        <v>75</v>
      </c>
      <c r="G122" s="92">
        <v>100</v>
      </c>
      <c r="H122" s="259"/>
      <c r="I122" s="236"/>
      <c r="J122" s="255"/>
      <c r="K122" s="310" t="s">
        <v>28</v>
      </c>
      <c r="L122" s="40" t="s">
        <v>28</v>
      </c>
      <c r="M122" s="76" t="s">
        <v>24</v>
      </c>
      <c r="N122" s="81">
        <v>1450</v>
      </c>
      <c r="O122" s="81"/>
      <c r="P122" s="82"/>
      <c r="Q122" s="123"/>
    </row>
    <row r="123" spans="1:17" s="152" customFormat="1" ht="15.95" customHeight="1" thickBot="1" x14ac:dyDescent="0.3">
      <c r="A123" s="151"/>
      <c r="B123" s="84" t="s">
        <v>539</v>
      </c>
      <c r="C123" s="76">
        <v>75</v>
      </c>
      <c r="D123" s="77">
        <v>100</v>
      </c>
      <c r="E123" s="76">
        <v>200</v>
      </c>
      <c r="F123" s="77">
        <v>60</v>
      </c>
      <c r="G123" s="92">
        <v>150</v>
      </c>
      <c r="H123" s="259"/>
      <c r="I123" s="236"/>
      <c r="J123" s="255"/>
      <c r="K123" s="310" t="s">
        <v>28</v>
      </c>
      <c r="L123" s="40" t="s">
        <v>28</v>
      </c>
      <c r="M123" s="76" t="s">
        <v>24</v>
      </c>
      <c r="N123" s="81">
        <v>1450</v>
      </c>
      <c r="O123" s="81"/>
      <c r="P123" s="82"/>
      <c r="Q123" s="123"/>
    </row>
    <row r="124" spans="1:17" s="152" customFormat="1" ht="15.95" customHeight="1" thickBot="1" x14ac:dyDescent="0.3">
      <c r="A124" s="151"/>
      <c r="B124" s="84" t="s">
        <v>540</v>
      </c>
      <c r="C124" s="76">
        <v>75</v>
      </c>
      <c r="D124" s="77">
        <v>100</v>
      </c>
      <c r="E124" s="76">
        <v>350</v>
      </c>
      <c r="F124" s="77">
        <v>45</v>
      </c>
      <c r="G124" s="92">
        <v>200</v>
      </c>
      <c r="H124" s="259"/>
      <c r="I124" s="236"/>
      <c r="J124" s="255"/>
      <c r="K124" s="310" t="s">
        <v>28</v>
      </c>
      <c r="L124" s="40" t="s">
        <v>28</v>
      </c>
      <c r="M124" s="76" t="s">
        <v>24</v>
      </c>
      <c r="N124" s="81">
        <v>1450</v>
      </c>
      <c r="O124" s="81">
        <v>1150</v>
      </c>
      <c r="P124" s="82">
        <v>0.98987000000000003</v>
      </c>
      <c r="Q124" s="123"/>
    </row>
    <row r="125" spans="1:17" s="152" customFormat="1" ht="15.95" customHeight="1" thickBot="1" x14ac:dyDescent="0.3">
      <c r="A125" s="151"/>
      <c r="B125" s="84" t="s">
        <v>541</v>
      </c>
      <c r="C125" s="76">
        <v>75</v>
      </c>
      <c r="D125" s="77">
        <v>100</v>
      </c>
      <c r="E125" s="76">
        <v>600</v>
      </c>
      <c r="F125" s="77">
        <v>25</v>
      </c>
      <c r="G125" s="92">
        <v>250</v>
      </c>
      <c r="H125" s="259"/>
      <c r="I125" s="236"/>
      <c r="J125" s="255"/>
      <c r="K125" s="310" t="s">
        <v>28</v>
      </c>
      <c r="L125" s="40" t="s">
        <v>28</v>
      </c>
      <c r="M125" s="76" t="s">
        <v>24</v>
      </c>
      <c r="N125" s="81">
        <v>1450</v>
      </c>
      <c r="O125" s="81">
        <v>1150</v>
      </c>
      <c r="P125" s="82">
        <v>0.98987000000000003</v>
      </c>
      <c r="Q125" s="123"/>
    </row>
    <row r="126" spans="1:17" s="152" customFormat="1" ht="15.95" customHeight="1" thickBot="1" x14ac:dyDescent="0.3">
      <c r="A126" s="151"/>
      <c r="B126" s="84" t="s">
        <v>542</v>
      </c>
      <c r="C126" s="76">
        <v>75</v>
      </c>
      <c r="D126" s="77">
        <v>100</v>
      </c>
      <c r="E126" s="76">
        <v>800</v>
      </c>
      <c r="F126" s="77">
        <v>20</v>
      </c>
      <c r="G126" s="92">
        <v>300</v>
      </c>
      <c r="H126" s="259"/>
      <c r="I126" s="236"/>
      <c r="J126" s="255"/>
      <c r="K126" s="310" t="s">
        <v>28</v>
      </c>
      <c r="L126" s="40" t="s">
        <v>28</v>
      </c>
      <c r="M126" s="76" t="s">
        <v>24</v>
      </c>
      <c r="N126" s="81">
        <v>1450</v>
      </c>
      <c r="O126" s="81">
        <v>1160</v>
      </c>
      <c r="P126" s="82">
        <v>0.98987000000000003</v>
      </c>
      <c r="Q126" s="123"/>
    </row>
    <row r="127" spans="1:17" s="152" customFormat="1" ht="15.95" customHeight="1" thickBot="1" x14ac:dyDescent="0.3">
      <c r="A127" s="151"/>
      <c r="B127" s="84" t="s">
        <v>543</v>
      </c>
      <c r="C127" s="76">
        <v>75</v>
      </c>
      <c r="D127" s="77">
        <v>100</v>
      </c>
      <c r="E127" s="76">
        <v>1000</v>
      </c>
      <c r="F127" s="77">
        <v>15</v>
      </c>
      <c r="G127" s="92">
        <v>350</v>
      </c>
      <c r="H127" s="259"/>
      <c r="I127" s="236"/>
      <c r="J127" s="255">
        <v>100601895</v>
      </c>
      <c r="K127" s="310" t="s">
        <v>28</v>
      </c>
      <c r="L127" s="40" t="s">
        <v>28</v>
      </c>
      <c r="M127" s="76" t="s">
        <v>24</v>
      </c>
      <c r="N127" s="81">
        <v>1450</v>
      </c>
      <c r="O127" s="81"/>
      <c r="P127" s="82"/>
      <c r="Q127" s="123"/>
    </row>
    <row r="128" spans="1:17" s="152" customFormat="1" ht="15.95" customHeight="1" thickBot="1" x14ac:dyDescent="0.3">
      <c r="A128" s="151"/>
      <c r="B128" s="84" t="s">
        <v>544</v>
      </c>
      <c r="C128" s="76">
        <v>90</v>
      </c>
      <c r="D128" s="77">
        <v>120</v>
      </c>
      <c r="E128" s="76">
        <v>120</v>
      </c>
      <c r="F128" s="77">
        <v>85</v>
      </c>
      <c r="G128" s="92">
        <v>100</v>
      </c>
      <c r="H128" s="259"/>
      <c r="I128" s="236"/>
      <c r="J128" s="255"/>
      <c r="K128" s="310" t="s">
        <v>28</v>
      </c>
      <c r="L128" s="40" t="s">
        <v>28</v>
      </c>
      <c r="M128" s="76" t="s">
        <v>24</v>
      </c>
      <c r="N128" s="81">
        <v>1450</v>
      </c>
      <c r="O128" s="81"/>
      <c r="P128" s="82"/>
      <c r="Q128" s="123"/>
    </row>
    <row r="129" spans="1:17" s="152" customFormat="1" ht="15.95" customHeight="1" thickBot="1" x14ac:dyDescent="0.3">
      <c r="A129" s="151"/>
      <c r="B129" s="84" t="s">
        <v>545</v>
      </c>
      <c r="C129" s="76">
        <v>90</v>
      </c>
      <c r="D129" s="77">
        <v>120</v>
      </c>
      <c r="E129" s="76">
        <v>200</v>
      </c>
      <c r="F129" s="77">
        <v>70</v>
      </c>
      <c r="G129" s="92">
        <v>150</v>
      </c>
      <c r="H129" s="259"/>
      <c r="I129" s="236"/>
      <c r="J129" s="255"/>
      <c r="K129" s="310" t="s">
        <v>28</v>
      </c>
      <c r="L129" s="40" t="s">
        <v>28</v>
      </c>
      <c r="M129" s="76" t="s">
        <v>24</v>
      </c>
      <c r="N129" s="81">
        <v>1450</v>
      </c>
      <c r="O129" s="81"/>
      <c r="P129" s="82"/>
      <c r="Q129" s="123"/>
    </row>
    <row r="130" spans="1:17" s="152" customFormat="1" ht="15.95" customHeight="1" thickBot="1" x14ac:dyDescent="0.3">
      <c r="A130" s="151"/>
      <c r="B130" s="84" t="s">
        <v>546</v>
      </c>
      <c r="C130" s="76">
        <v>90</v>
      </c>
      <c r="D130" s="77">
        <v>120</v>
      </c>
      <c r="E130" s="76">
        <v>400</v>
      </c>
      <c r="F130" s="77">
        <v>50</v>
      </c>
      <c r="G130" s="92">
        <v>200</v>
      </c>
      <c r="H130" s="259"/>
      <c r="I130" s="236"/>
      <c r="J130" s="255"/>
      <c r="K130" s="310" t="s">
        <v>28</v>
      </c>
      <c r="L130" s="40" t="s">
        <v>28</v>
      </c>
      <c r="M130" s="76" t="s">
        <v>24</v>
      </c>
      <c r="N130" s="81">
        <v>1450</v>
      </c>
      <c r="O130" s="81"/>
      <c r="P130" s="82"/>
      <c r="Q130" s="123"/>
    </row>
    <row r="131" spans="1:17" s="152" customFormat="1" ht="15.95" customHeight="1" thickBot="1" x14ac:dyDescent="0.3">
      <c r="A131" s="151"/>
      <c r="B131" s="84" t="s">
        <v>547</v>
      </c>
      <c r="C131" s="76">
        <v>90</v>
      </c>
      <c r="D131" s="77">
        <v>120</v>
      </c>
      <c r="E131" s="76">
        <v>600</v>
      </c>
      <c r="F131" s="77">
        <v>30</v>
      </c>
      <c r="G131" s="92">
        <v>250</v>
      </c>
      <c r="H131" s="259"/>
      <c r="I131" s="236"/>
      <c r="J131" s="255"/>
      <c r="K131" s="310" t="s">
        <v>28</v>
      </c>
      <c r="L131" s="40" t="s">
        <v>28</v>
      </c>
      <c r="M131" s="76" t="s">
        <v>24</v>
      </c>
      <c r="N131" s="81">
        <v>1450</v>
      </c>
      <c r="O131" s="81"/>
      <c r="P131" s="82"/>
      <c r="Q131" s="123"/>
    </row>
    <row r="132" spans="1:17" s="152" customFormat="1" ht="15.95" customHeight="1" thickBot="1" x14ac:dyDescent="0.3">
      <c r="A132" s="151"/>
      <c r="B132" s="84" t="s">
        <v>548</v>
      </c>
      <c r="C132" s="76">
        <v>90</v>
      </c>
      <c r="D132" s="77">
        <v>120</v>
      </c>
      <c r="E132" s="76">
        <v>80</v>
      </c>
      <c r="F132" s="77">
        <v>25</v>
      </c>
      <c r="G132" s="92">
        <v>300</v>
      </c>
      <c r="H132" s="259"/>
      <c r="I132" s="236"/>
      <c r="J132" s="255"/>
      <c r="K132" s="310" t="s">
        <v>28</v>
      </c>
      <c r="L132" s="40" t="s">
        <v>28</v>
      </c>
      <c r="M132" s="76" t="s">
        <v>24</v>
      </c>
      <c r="N132" s="81">
        <v>1450</v>
      </c>
      <c r="O132" s="81"/>
      <c r="P132" s="82"/>
      <c r="Q132" s="123"/>
    </row>
    <row r="133" spans="1:17" s="152" customFormat="1" ht="15.95" customHeight="1" thickBot="1" x14ac:dyDescent="0.3">
      <c r="A133" s="151"/>
      <c r="B133" s="84" t="s">
        <v>549</v>
      </c>
      <c r="C133" s="76">
        <v>90</v>
      </c>
      <c r="D133" s="77">
        <v>120</v>
      </c>
      <c r="E133" s="76">
        <v>1000</v>
      </c>
      <c r="F133" s="77">
        <v>18</v>
      </c>
      <c r="G133" s="92">
        <v>350</v>
      </c>
      <c r="H133" s="259"/>
      <c r="I133" s="236"/>
      <c r="J133" s="255"/>
      <c r="K133" s="310" t="s">
        <v>28</v>
      </c>
      <c r="L133" s="40" t="s">
        <v>28</v>
      </c>
      <c r="M133" s="76" t="s">
        <v>24</v>
      </c>
      <c r="N133" s="81">
        <v>1450</v>
      </c>
      <c r="O133" s="81"/>
      <c r="P133" s="82"/>
      <c r="Q133" s="123"/>
    </row>
    <row r="134" spans="1:17" s="152" customFormat="1" ht="15.95" customHeight="1" thickBot="1" x14ac:dyDescent="0.3">
      <c r="A134" s="151"/>
      <c r="B134" s="84" t="s">
        <v>550</v>
      </c>
      <c r="C134" s="76">
        <v>132</v>
      </c>
      <c r="D134" s="77">
        <v>180</v>
      </c>
      <c r="E134" s="76">
        <v>200</v>
      </c>
      <c r="F134" s="77">
        <v>90</v>
      </c>
      <c r="G134" s="92">
        <v>150</v>
      </c>
      <c r="H134" s="259"/>
      <c r="I134" s="236"/>
      <c r="J134" s="255"/>
      <c r="K134" s="310" t="s">
        <v>28</v>
      </c>
      <c r="L134" s="40" t="s">
        <v>28</v>
      </c>
      <c r="M134" s="76" t="s">
        <v>24</v>
      </c>
      <c r="N134" s="81">
        <v>1450</v>
      </c>
      <c r="O134" s="81"/>
      <c r="P134" s="82"/>
      <c r="Q134" s="123"/>
    </row>
    <row r="135" spans="1:17" s="152" customFormat="1" ht="15.95" customHeight="1" thickBot="1" x14ac:dyDescent="0.3">
      <c r="A135" s="151"/>
      <c r="B135" s="84" t="s">
        <v>551</v>
      </c>
      <c r="C135" s="76">
        <v>200</v>
      </c>
      <c r="D135" s="77">
        <v>270</v>
      </c>
      <c r="E135" s="76">
        <v>750</v>
      </c>
      <c r="F135" s="77">
        <v>75</v>
      </c>
      <c r="G135" s="92">
        <v>250</v>
      </c>
      <c r="H135" s="259"/>
      <c r="I135" s="236"/>
      <c r="J135" s="255"/>
      <c r="K135" s="310" t="s">
        <v>28</v>
      </c>
      <c r="L135" s="40" t="s">
        <v>28</v>
      </c>
      <c r="M135" s="76" t="s">
        <v>24</v>
      </c>
      <c r="N135" s="81">
        <v>1450</v>
      </c>
      <c r="O135" s="81"/>
      <c r="P135" s="82"/>
      <c r="Q135" s="123"/>
    </row>
    <row r="136" spans="1:17" s="152" customFormat="1" ht="15.95" customHeight="1" thickBot="1" x14ac:dyDescent="0.3">
      <c r="A136" s="151"/>
      <c r="B136" s="84" t="s">
        <v>552</v>
      </c>
      <c r="C136" s="76">
        <v>55</v>
      </c>
      <c r="D136" s="77">
        <v>75</v>
      </c>
      <c r="E136" s="76">
        <v>1100</v>
      </c>
      <c r="F136" s="77">
        <v>10</v>
      </c>
      <c r="G136" s="92">
        <v>350</v>
      </c>
      <c r="H136" s="259"/>
      <c r="I136" s="236"/>
      <c r="J136" s="255"/>
      <c r="K136" s="310" t="s">
        <v>28</v>
      </c>
      <c r="L136" s="40" t="s">
        <v>28</v>
      </c>
      <c r="M136" s="76" t="s">
        <v>24</v>
      </c>
      <c r="N136" s="81">
        <v>960</v>
      </c>
      <c r="O136" s="81"/>
      <c r="P136" s="82"/>
      <c r="Q136" s="123"/>
    </row>
    <row r="137" spans="1:17" s="152" customFormat="1" ht="15.95" customHeight="1" thickBot="1" x14ac:dyDescent="0.3">
      <c r="A137" s="151"/>
      <c r="B137" s="84" t="s">
        <v>553</v>
      </c>
      <c r="C137" s="76">
        <v>75</v>
      </c>
      <c r="D137" s="77">
        <v>100</v>
      </c>
      <c r="E137" s="76">
        <v>1500</v>
      </c>
      <c r="F137" s="77">
        <v>12</v>
      </c>
      <c r="G137" s="92">
        <v>350</v>
      </c>
      <c r="H137" s="259"/>
      <c r="I137" s="236"/>
      <c r="J137" s="255"/>
      <c r="K137" s="310" t="s">
        <v>28</v>
      </c>
      <c r="L137" s="40" t="s">
        <v>28</v>
      </c>
      <c r="M137" s="76" t="s">
        <v>24</v>
      </c>
      <c r="N137" s="81">
        <v>960</v>
      </c>
      <c r="O137" s="81"/>
      <c r="P137" s="82"/>
      <c r="Q137" s="123"/>
    </row>
    <row r="138" spans="1:17" s="152" customFormat="1" ht="15.95" customHeight="1" thickBot="1" x14ac:dyDescent="0.3">
      <c r="A138" s="151"/>
      <c r="B138" s="84" t="s">
        <v>554</v>
      </c>
      <c r="C138" s="76">
        <v>110</v>
      </c>
      <c r="D138" s="77">
        <v>150</v>
      </c>
      <c r="E138" s="76">
        <v>300</v>
      </c>
      <c r="F138" s="77">
        <v>65</v>
      </c>
      <c r="G138" s="92">
        <v>200</v>
      </c>
      <c r="H138" s="259"/>
      <c r="I138" s="236"/>
      <c r="J138" s="255"/>
      <c r="K138" s="310" t="s">
        <v>28</v>
      </c>
      <c r="L138" s="40" t="s">
        <v>28</v>
      </c>
      <c r="M138" s="76" t="s">
        <v>24</v>
      </c>
      <c r="N138" s="81">
        <v>1450</v>
      </c>
      <c r="O138" s="81"/>
      <c r="P138" s="82"/>
      <c r="Q138" s="123"/>
    </row>
    <row r="139" spans="1:17" s="152" customFormat="1" ht="8.25" customHeight="1" thickBot="1" x14ac:dyDescent="0.3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23"/>
    </row>
    <row r="140" spans="1:17" s="152" customFormat="1" ht="15" customHeight="1" x14ac:dyDescent="0.25">
      <c r="A140" s="153"/>
      <c r="B140" s="380" t="s">
        <v>32</v>
      </c>
      <c r="C140" s="381"/>
      <c r="D140" s="44" t="s">
        <v>1311</v>
      </c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123"/>
    </row>
    <row r="141" spans="1:17" s="152" customFormat="1" ht="15" customHeight="1" x14ac:dyDescent="0.25">
      <c r="A141" s="153"/>
      <c r="B141" s="366" t="s">
        <v>34</v>
      </c>
      <c r="C141" s="377"/>
      <c r="D141" s="50" t="s">
        <v>1312</v>
      </c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123"/>
    </row>
    <row r="142" spans="1:17" s="152" customFormat="1" ht="15" customHeight="1" x14ac:dyDescent="0.25">
      <c r="A142" s="153"/>
      <c r="B142" s="366" t="s">
        <v>6</v>
      </c>
      <c r="C142" s="377"/>
      <c r="D142" s="50" t="s">
        <v>1323</v>
      </c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123"/>
    </row>
    <row r="143" spans="1:17" s="152" customFormat="1" ht="15" customHeight="1" x14ac:dyDescent="0.25">
      <c r="A143" s="153"/>
      <c r="B143" s="366" t="s">
        <v>1313</v>
      </c>
      <c r="C143" s="377"/>
      <c r="D143" s="221" t="s">
        <v>1314</v>
      </c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123"/>
    </row>
    <row r="144" spans="1:17" s="152" customFormat="1" ht="15" customHeight="1" x14ac:dyDescent="0.25">
      <c r="A144" s="153"/>
      <c r="B144" s="366" t="s">
        <v>1315</v>
      </c>
      <c r="C144" s="377"/>
      <c r="D144" s="55" t="s">
        <v>1316</v>
      </c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123"/>
    </row>
    <row r="145" spans="1:17" s="152" customFormat="1" ht="15" customHeight="1" x14ac:dyDescent="0.25">
      <c r="A145" s="153"/>
      <c r="B145" s="366" t="s">
        <v>1300</v>
      </c>
      <c r="C145" s="377"/>
      <c r="D145" s="288" t="s">
        <v>1317</v>
      </c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123"/>
    </row>
    <row r="146" spans="1:17" s="152" customFormat="1" ht="15" customHeight="1" x14ac:dyDescent="0.25">
      <c r="A146" s="153"/>
      <c r="B146" s="366" t="s">
        <v>1318</v>
      </c>
      <c r="C146" s="377"/>
      <c r="D146" s="288" t="s">
        <v>1319</v>
      </c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123"/>
    </row>
    <row r="147" spans="1:17" s="152" customFormat="1" ht="15" customHeight="1" x14ac:dyDescent="0.25">
      <c r="A147" s="153"/>
      <c r="B147" s="378" t="s">
        <v>1320</v>
      </c>
      <c r="C147" s="379"/>
      <c r="D147" s="290" t="s">
        <v>1321</v>
      </c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123"/>
    </row>
  </sheetData>
  <mergeCells count="34">
    <mergeCell ref="J53:K53"/>
    <mergeCell ref="H52:L52"/>
    <mergeCell ref="B52:B53"/>
    <mergeCell ref="C52:D53"/>
    <mergeCell ref="E52:F52"/>
    <mergeCell ref="E53:F53"/>
    <mergeCell ref="H53:I53"/>
    <mergeCell ref="B6:P6"/>
    <mergeCell ref="B8:B10"/>
    <mergeCell ref="M8:M10"/>
    <mergeCell ref="N8:N9"/>
    <mergeCell ref="B41:C41"/>
    <mergeCell ref="C8:D9"/>
    <mergeCell ref="E8:F8"/>
    <mergeCell ref="E9:F9"/>
    <mergeCell ref="H9:I9"/>
    <mergeCell ref="J9:K9"/>
    <mergeCell ref="H8:L8"/>
    <mergeCell ref="B42:C42"/>
    <mergeCell ref="B44:C44"/>
    <mergeCell ref="B45:C45"/>
    <mergeCell ref="B46:C46"/>
    <mergeCell ref="B147:C147"/>
    <mergeCell ref="B47:C47"/>
    <mergeCell ref="B48:C48"/>
    <mergeCell ref="B140:C140"/>
    <mergeCell ref="B141:C141"/>
    <mergeCell ref="B146:C146"/>
    <mergeCell ref="B142:C142"/>
    <mergeCell ref="B143:C143"/>
    <mergeCell ref="B144:C144"/>
    <mergeCell ref="B145:C145"/>
    <mergeCell ref="B43:C43"/>
    <mergeCell ref="B50:M5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zoomScaleNormal="100" workbookViewId="0">
      <selection activeCell="G25" sqref="G25"/>
    </sheetView>
  </sheetViews>
  <sheetFormatPr defaultRowHeight="15" x14ac:dyDescent="0.25"/>
  <cols>
    <col min="1" max="1" width="34.28515625" style="153" customWidth="1"/>
    <col min="2" max="2" width="28.5703125" style="153" customWidth="1"/>
    <col min="3" max="4" width="12" style="153" customWidth="1"/>
    <col min="5" max="6" width="8.5703125" style="153" customWidth="1"/>
    <col min="7" max="7" width="10.28515625" style="153" customWidth="1"/>
    <col min="8" max="8" width="14.28515625" style="153" customWidth="1"/>
    <col min="9" max="9" width="10.85546875" style="153" customWidth="1"/>
    <col min="10" max="10" width="14.28515625" style="153" customWidth="1"/>
    <col min="11" max="11" width="10.85546875" style="153" customWidth="1"/>
    <col min="12" max="12" width="14.28515625" style="153" customWidth="1"/>
    <col min="13" max="16" width="10.85546875" style="153" customWidth="1"/>
    <col min="17" max="17" width="10.140625" style="123" customWidth="1"/>
    <col min="18" max="258" width="9.140625" style="123"/>
    <col min="259" max="259" width="34.28515625" style="123" customWidth="1"/>
    <col min="260" max="260" width="25.7109375" style="123" customWidth="1"/>
    <col min="261" max="262" width="12" style="123" customWidth="1"/>
    <col min="263" max="264" width="8.5703125" style="123" customWidth="1"/>
    <col min="265" max="265" width="10.28515625" style="123" customWidth="1"/>
    <col min="266" max="267" width="10.85546875" style="123" customWidth="1"/>
    <col min="268" max="271" width="10.28515625" style="123" customWidth="1"/>
    <col min="272" max="272" width="9.140625" style="123"/>
    <col min="273" max="273" width="10.140625" style="123" customWidth="1"/>
    <col min="274" max="514" width="9.140625" style="123"/>
    <col min="515" max="515" width="34.28515625" style="123" customWidth="1"/>
    <col min="516" max="516" width="25.7109375" style="123" customWidth="1"/>
    <col min="517" max="518" width="12" style="123" customWidth="1"/>
    <col min="519" max="520" width="8.5703125" style="123" customWidth="1"/>
    <col min="521" max="521" width="10.28515625" style="123" customWidth="1"/>
    <col min="522" max="523" width="10.85546875" style="123" customWidth="1"/>
    <col min="524" max="527" width="10.28515625" style="123" customWidth="1"/>
    <col min="528" max="528" width="9.140625" style="123"/>
    <col min="529" max="529" width="10.140625" style="123" customWidth="1"/>
    <col min="530" max="770" width="9.140625" style="123"/>
    <col min="771" max="771" width="34.28515625" style="123" customWidth="1"/>
    <col min="772" max="772" width="25.7109375" style="123" customWidth="1"/>
    <col min="773" max="774" width="12" style="123" customWidth="1"/>
    <col min="775" max="776" width="8.5703125" style="123" customWidth="1"/>
    <col min="777" max="777" width="10.28515625" style="123" customWidth="1"/>
    <col min="778" max="779" width="10.85546875" style="123" customWidth="1"/>
    <col min="780" max="783" width="10.28515625" style="123" customWidth="1"/>
    <col min="784" max="784" width="9.140625" style="123"/>
    <col min="785" max="785" width="10.14062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0" width="12" style="123" customWidth="1"/>
    <col min="1031" max="1032" width="8.5703125" style="123" customWidth="1"/>
    <col min="1033" max="1033" width="10.28515625" style="123" customWidth="1"/>
    <col min="1034" max="1035" width="10.85546875" style="123" customWidth="1"/>
    <col min="1036" max="1039" width="10.28515625" style="123" customWidth="1"/>
    <col min="1040" max="1040" width="9.140625" style="123"/>
    <col min="1041" max="1041" width="10.14062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86" width="12" style="123" customWidth="1"/>
    <col min="1287" max="1288" width="8.5703125" style="123" customWidth="1"/>
    <col min="1289" max="1289" width="10.28515625" style="123" customWidth="1"/>
    <col min="1290" max="1291" width="10.85546875" style="123" customWidth="1"/>
    <col min="1292" max="1295" width="10.28515625" style="123" customWidth="1"/>
    <col min="1296" max="1296" width="9.140625" style="123"/>
    <col min="1297" max="1297" width="10.14062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2" width="12" style="123" customWidth="1"/>
    <col min="1543" max="1544" width="8.5703125" style="123" customWidth="1"/>
    <col min="1545" max="1545" width="10.28515625" style="123" customWidth="1"/>
    <col min="1546" max="1547" width="10.85546875" style="123" customWidth="1"/>
    <col min="1548" max="1551" width="10.28515625" style="123" customWidth="1"/>
    <col min="1552" max="1552" width="9.140625" style="123"/>
    <col min="1553" max="1553" width="10.14062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798" width="12" style="123" customWidth="1"/>
    <col min="1799" max="1800" width="8.5703125" style="123" customWidth="1"/>
    <col min="1801" max="1801" width="10.28515625" style="123" customWidth="1"/>
    <col min="1802" max="1803" width="10.85546875" style="123" customWidth="1"/>
    <col min="1804" max="1807" width="10.28515625" style="123" customWidth="1"/>
    <col min="1808" max="1808" width="9.140625" style="123"/>
    <col min="1809" max="1809" width="10.14062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4" width="12" style="123" customWidth="1"/>
    <col min="2055" max="2056" width="8.5703125" style="123" customWidth="1"/>
    <col min="2057" max="2057" width="10.28515625" style="123" customWidth="1"/>
    <col min="2058" max="2059" width="10.85546875" style="123" customWidth="1"/>
    <col min="2060" max="2063" width="10.28515625" style="123" customWidth="1"/>
    <col min="2064" max="2064" width="9.140625" style="123"/>
    <col min="2065" max="2065" width="10.14062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0" width="12" style="123" customWidth="1"/>
    <col min="2311" max="2312" width="8.5703125" style="123" customWidth="1"/>
    <col min="2313" max="2313" width="10.28515625" style="123" customWidth="1"/>
    <col min="2314" max="2315" width="10.85546875" style="123" customWidth="1"/>
    <col min="2316" max="2319" width="10.28515625" style="123" customWidth="1"/>
    <col min="2320" max="2320" width="9.140625" style="123"/>
    <col min="2321" max="2321" width="10.14062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66" width="12" style="123" customWidth="1"/>
    <col min="2567" max="2568" width="8.5703125" style="123" customWidth="1"/>
    <col min="2569" max="2569" width="10.28515625" style="123" customWidth="1"/>
    <col min="2570" max="2571" width="10.85546875" style="123" customWidth="1"/>
    <col min="2572" max="2575" width="10.28515625" style="123" customWidth="1"/>
    <col min="2576" max="2576" width="9.140625" style="123"/>
    <col min="2577" max="2577" width="10.14062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2" width="12" style="123" customWidth="1"/>
    <col min="2823" max="2824" width="8.5703125" style="123" customWidth="1"/>
    <col min="2825" max="2825" width="10.28515625" style="123" customWidth="1"/>
    <col min="2826" max="2827" width="10.85546875" style="123" customWidth="1"/>
    <col min="2828" max="2831" width="10.28515625" style="123" customWidth="1"/>
    <col min="2832" max="2832" width="9.140625" style="123"/>
    <col min="2833" max="2833" width="10.14062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78" width="12" style="123" customWidth="1"/>
    <col min="3079" max="3080" width="8.5703125" style="123" customWidth="1"/>
    <col min="3081" max="3081" width="10.28515625" style="123" customWidth="1"/>
    <col min="3082" max="3083" width="10.85546875" style="123" customWidth="1"/>
    <col min="3084" max="3087" width="10.28515625" style="123" customWidth="1"/>
    <col min="3088" max="3088" width="9.140625" style="123"/>
    <col min="3089" max="3089" width="10.14062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4" width="12" style="123" customWidth="1"/>
    <col min="3335" max="3336" width="8.5703125" style="123" customWidth="1"/>
    <col min="3337" max="3337" width="10.28515625" style="123" customWidth="1"/>
    <col min="3338" max="3339" width="10.85546875" style="123" customWidth="1"/>
    <col min="3340" max="3343" width="10.28515625" style="123" customWidth="1"/>
    <col min="3344" max="3344" width="9.140625" style="123"/>
    <col min="3345" max="3345" width="10.14062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0" width="12" style="123" customWidth="1"/>
    <col min="3591" max="3592" width="8.5703125" style="123" customWidth="1"/>
    <col min="3593" max="3593" width="10.28515625" style="123" customWidth="1"/>
    <col min="3594" max="3595" width="10.85546875" style="123" customWidth="1"/>
    <col min="3596" max="3599" width="10.28515625" style="123" customWidth="1"/>
    <col min="3600" max="3600" width="9.140625" style="123"/>
    <col min="3601" max="3601" width="10.14062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46" width="12" style="123" customWidth="1"/>
    <col min="3847" max="3848" width="8.5703125" style="123" customWidth="1"/>
    <col min="3849" max="3849" width="10.28515625" style="123" customWidth="1"/>
    <col min="3850" max="3851" width="10.85546875" style="123" customWidth="1"/>
    <col min="3852" max="3855" width="10.28515625" style="123" customWidth="1"/>
    <col min="3856" max="3856" width="9.140625" style="123"/>
    <col min="3857" max="3857" width="10.14062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2" width="12" style="123" customWidth="1"/>
    <col min="4103" max="4104" width="8.5703125" style="123" customWidth="1"/>
    <col min="4105" max="4105" width="10.28515625" style="123" customWidth="1"/>
    <col min="4106" max="4107" width="10.85546875" style="123" customWidth="1"/>
    <col min="4108" max="4111" width="10.28515625" style="123" customWidth="1"/>
    <col min="4112" max="4112" width="9.140625" style="123"/>
    <col min="4113" max="4113" width="10.14062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58" width="12" style="123" customWidth="1"/>
    <col min="4359" max="4360" width="8.5703125" style="123" customWidth="1"/>
    <col min="4361" max="4361" width="10.28515625" style="123" customWidth="1"/>
    <col min="4362" max="4363" width="10.85546875" style="123" customWidth="1"/>
    <col min="4364" max="4367" width="10.28515625" style="123" customWidth="1"/>
    <col min="4368" max="4368" width="9.140625" style="123"/>
    <col min="4369" max="4369" width="10.14062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4" width="12" style="123" customWidth="1"/>
    <col min="4615" max="4616" width="8.5703125" style="123" customWidth="1"/>
    <col min="4617" max="4617" width="10.28515625" style="123" customWidth="1"/>
    <col min="4618" max="4619" width="10.85546875" style="123" customWidth="1"/>
    <col min="4620" max="4623" width="10.28515625" style="123" customWidth="1"/>
    <col min="4624" max="4624" width="9.140625" style="123"/>
    <col min="4625" max="4625" width="10.14062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0" width="12" style="123" customWidth="1"/>
    <col min="4871" max="4872" width="8.5703125" style="123" customWidth="1"/>
    <col min="4873" max="4873" width="10.28515625" style="123" customWidth="1"/>
    <col min="4874" max="4875" width="10.85546875" style="123" customWidth="1"/>
    <col min="4876" max="4879" width="10.28515625" style="123" customWidth="1"/>
    <col min="4880" max="4880" width="9.140625" style="123"/>
    <col min="4881" max="4881" width="10.14062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26" width="12" style="123" customWidth="1"/>
    <col min="5127" max="5128" width="8.5703125" style="123" customWidth="1"/>
    <col min="5129" max="5129" width="10.28515625" style="123" customWidth="1"/>
    <col min="5130" max="5131" width="10.85546875" style="123" customWidth="1"/>
    <col min="5132" max="5135" width="10.28515625" style="123" customWidth="1"/>
    <col min="5136" max="5136" width="9.140625" style="123"/>
    <col min="5137" max="5137" width="10.14062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2" width="12" style="123" customWidth="1"/>
    <col min="5383" max="5384" width="8.5703125" style="123" customWidth="1"/>
    <col min="5385" max="5385" width="10.28515625" style="123" customWidth="1"/>
    <col min="5386" max="5387" width="10.85546875" style="123" customWidth="1"/>
    <col min="5388" max="5391" width="10.28515625" style="123" customWidth="1"/>
    <col min="5392" max="5392" width="9.140625" style="123"/>
    <col min="5393" max="5393" width="10.14062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38" width="12" style="123" customWidth="1"/>
    <col min="5639" max="5640" width="8.5703125" style="123" customWidth="1"/>
    <col min="5641" max="5641" width="10.28515625" style="123" customWidth="1"/>
    <col min="5642" max="5643" width="10.85546875" style="123" customWidth="1"/>
    <col min="5644" max="5647" width="10.28515625" style="123" customWidth="1"/>
    <col min="5648" max="5648" width="9.140625" style="123"/>
    <col min="5649" max="5649" width="10.14062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4" width="12" style="123" customWidth="1"/>
    <col min="5895" max="5896" width="8.5703125" style="123" customWidth="1"/>
    <col min="5897" max="5897" width="10.28515625" style="123" customWidth="1"/>
    <col min="5898" max="5899" width="10.85546875" style="123" customWidth="1"/>
    <col min="5900" max="5903" width="10.28515625" style="123" customWidth="1"/>
    <col min="5904" max="5904" width="9.140625" style="123"/>
    <col min="5905" max="5905" width="10.14062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0" width="12" style="123" customWidth="1"/>
    <col min="6151" max="6152" width="8.5703125" style="123" customWidth="1"/>
    <col min="6153" max="6153" width="10.28515625" style="123" customWidth="1"/>
    <col min="6154" max="6155" width="10.85546875" style="123" customWidth="1"/>
    <col min="6156" max="6159" width="10.28515625" style="123" customWidth="1"/>
    <col min="6160" max="6160" width="9.140625" style="123"/>
    <col min="6161" max="6161" width="10.14062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06" width="12" style="123" customWidth="1"/>
    <col min="6407" max="6408" width="8.5703125" style="123" customWidth="1"/>
    <col min="6409" max="6409" width="10.28515625" style="123" customWidth="1"/>
    <col min="6410" max="6411" width="10.85546875" style="123" customWidth="1"/>
    <col min="6412" max="6415" width="10.28515625" style="123" customWidth="1"/>
    <col min="6416" max="6416" width="9.140625" style="123"/>
    <col min="6417" max="6417" width="10.14062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2" width="12" style="123" customWidth="1"/>
    <col min="6663" max="6664" width="8.5703125" style="123" customWidth="1"/>
    <col min="6665" max="6665" width="10.28515625" style="123" customWidth="1"/>
    <col min="6666" max="6667" width="10.85546875" style="123" customWidth="1"/>
    <col min="6668" max="6671" width="10.28515625" style="123" customWidth="1"/>
    <col min="6672" max="6672" width="9.140625" style="123"/>
    <col min="6673" max="6673" width="10.14062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18" width="12" style="123" customWidth="1"/>
    <col min="6919" max="6920" width="8.5703125" style="123" customWidth="1"/>
    <col min="6921" max="6921" width="10.28515625" style="123" customWidth="1"/>
    <col min="6922" max="6923" width="10.85546875" style="123" customWidth="1"/>
    <col min="6924" max="6927" width="10.28515625" style="123" customWidth="1"/>
    <col min="6928" max="6928" width="9.140625" style="123"/>
    <col min="6929" max="6929" width="10.14062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4" width="12" style="123" customWidth="1"/>
    <col min="7175" max="7176" width="8.5703125" style="123" customWidth="1"/>
    <col min="7177" max="7177" width="10.28515625" style="123" customWidth="1"/>
    <col min="7178" max="7179" width="10.85546875" style="123" customWidth="1"/>
    <col min="7180" max="7183" width="10.28515625" style="123" customWidth="1"/>
    <col min="7184" max="7184" width="9.140625" style="123"/>
    <col min="7185" max="7185" width="10.14062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0" width="12" style="123" customWidth="1"/>
    <col min="7431" max="7432" width="8.5703125" style="123" customWidth="1"/>
    <col min="7433" max="7433" width="10.28515625" style="123" customWidth="1"/>
    <col min="7434" max="7435" width="10.85546875" style="123" customWidth="1"/>
    <col min="7436" max="7439" width="10.28515625" style="123" customWidth="1"/>
    <col min="7440" max="7440" width="9.140625" style="123"/>
    <col min="7441" max="7441" width="10.14062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86" width="12" style="123" customWidth="1"/>
    <col min="7687" max="7688" width="8.5703125" style="123" customWidth="1"/>
    <col min="7689" max="7689" width="10.28515625" style="123" customWidth="1"/>
    <col min="7690" max="7691" width="10.85546875" style="123" customWidth="1"/>
    <col min="7692" max="7695" width="10.28515625" style="123" customWidth="1"/>
    <col min="7696" max="7696" width="9.140625" style="123"/>
    <col min="7697" max="7697" width="10.14062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2" width="12" style="123" customWidth="1"/>
    <col min="7943" max="7944" width="8.5703125" style="123" customWidth="1"/>
    <col min="7945" max="7945" width="10.28515625" style="123" customWidth="1"/>
    <col min="7946" max="7947" width="10.85546875" style="123" customWidth="1"/>
    <col min="7948" max="7951" width="10.28515625" style="123" customWidth="1"/>
    <col min="7952" max="7952" width="9.140625" style="123"/>
    <col min="7953" max="7953" width="10.14062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198" width="12" style="123" customWidth="1"/>
    <col min="8199" max="8200" width="8.5703125" style="123" customWidth="1"/>
    <col min="8201" max="8201" width="10.28515625" style="123" customWidth="1"/>
    <col min="8202" max="8203" width="10.85546875" style="123" customWidth="1"/>
    <col min="8204" max="8207" width="10.28515625" style="123" customWidth="1"/>
    <col min="8208" max="8208" width="9.140625" style="123"/>
    <col min="8209" max="8209" width="10.14062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4" width="12" style="123" customWidth="1"/>
    <col min="8455" max="8456" width="8.5703125" style="123" customWidth="1"/>
    <col min="8457" max="8457" width="10.28515625" style="123" customWidth="1"/>
    <col min="8458" max="8459" width="10.85546875" style="123" customWidth="1"/>
    <col min="8460" max="8463" width="10.28515625" style="123" customWidth="1"/>
    <col min="8464" max="8464" width="9.140625" style="123"/>
    <col min="8465" max="8465" width="10.14062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0" width="12" style="123" customWidth="1"/>
    <col min="8711" max="8712" width="8.5703125" style="123" customWidth="1"/>
    <col min="8713" max="8713" width="10.28515625" style="123" customWidth="1"/>
    <col min="8714" max="8715" width="10.85546875" style="123" customWidth="1"/>
    <col min="8716" max="8719" width="10.28515625" style="123" customWidth="1"/>
    <col min="8720" max="8720" width="9.140625" style="123"/>
    <col min="8721" max="8721" width="10.14062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66" width="12" style="123" customWidth="1"/>
    <col min="8967" max="8968" width="8.5703125" style="123" customWidth="1"/>
    <col min="8969" max="8969" width="10.28515625" style="123" customWidth="1"/>
    <col min="8970" max="8971" width="10.85546875" style="123" customWidth="1"/>
    <col min="8972" max="8975" width="10.28515625" style="123" customWidth="1"/>
    <col min="8976" max="8976" width="9.140625" style="123"/>
    <col min="8977" max="8977" width="10.14062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2" width="12" style="123" customWidth="1"/>
    <col min="9223" max="9224" width="8.5703125" style="123" customWidth="1"/>
    <col min="9225" max="9225" width="10.28515625" style="123" customWidth="1"/>
    <col min="9226" max="9227" width="10.85546875" style="123" customWidth="1"/>
    <col min="9228" max="9231" width="10.28515625" style="123" customWidth="1"/>
    <col min="9232" max="9232" width="9.140625" style="123"/>
    <col min="9233" max="9233" width="10.14062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78" width="12" style="123" customWidth="1"/>
    <col min="9479" max="9480" width="8.5703125" style="123" customWidth="1"/>
    <col min="9481" max="9481" width="10.28515625" style="123" customWidth="1"/>
    <col min="9482" max="9483" width="10.85546875" style="123" customWidth="1"/>
    <col min="9484" max="9487" width="10.28515625" style="123" customWidth="1"/>
    <col min="9488" max="9488" width="9.140625" style="123"/>
    <col min="9489" max="9489" width="10.14062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4" width="12" style="123" customWidth="1"/>
    <col min="9735" max="9736" width="8.5703125" style="123" customWidth="1"/>
    <col min="9737" max="9737" width="10.28515625" style="123" customWidth="1"/>
    <col min="9738" max="9739" width="10.85546875" style="123" customWidth="1"/>
    <col min="9740" max="9743" width="10.28515625" style="123" customWidth="1"/>
    <col min="9744" max="9744" width="9.140625" style="123"/>
    <col min="9745" max="9745" width="10.14062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0" width="12" style="123" customWidth="1"/>
    <col min="9991" max="9992" width="8.5703125" style="123" customWidth="1"/>
    <col min="9993" max="9993" width="10.28515625" style="123" customWidth="1"/>
    <col min="9994" max="9995" width="10.85546875" style="123" customWidth="1"/>
    <col min="9996" max="9999" width="10.28515625" style="123" customWidth="1"/>
    <col min="10000" max="10000" width="9.140625" style="123"/>
    <col min="10001" max="10001" width="10.14062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46" width="12" style="123" customWidth="1"/>
    <col min="10247" max="10248" width="8.5703125" style="123" customWidth="1"/>
    <col min="10249" max="10249" width="10.28515625" style="123" customWidth="1"/>
    <col min="10250" max="10251" width="10.85546875" style="123" customWidth="1"/>
    <col min="10252" max="10255" width="10.28515625" style="123" customWidth="1"/>
    <col min="10256" max="10256" width="9.140625" style="123"/>
    <col min="10257" max="10257" width="10.14062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2" width="12" style="123" customWidth="1"/>
    <col min="10503" max="10504" width="8.5703125" style="123" customWidth="1"/>
    <col min="10505" max="10505" width="10.28515625" style="123" customWidth="1"/>
    <col min="10506" max="10507" width="10.85546875" style="123" customWidth="1"/>
    <col min="10508" max="10511" width="10.28515625" style="123" customWidth="1"/>
    <col min="10512" max="10512" width="9.140625" style="123"/>
    <col min="10513" max="10513" width="10.14062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58" width="12" style="123" customWidth="1"/>
    <col min="10759" max="10760" width="8.5703125" style="123" customWidth="1"/>
    <col min="10761" max="10761" width="10.28515625" style="123" customWidth="1"/>
    <col min="10762" max="10763" width="10.85546875" style="123" customWidth="1"/>
    <col min="10764" max="10767" width="10.28515625" style="123" customWidth="1"/>
    <col min="10768" max="10768" width="9.140625" style="123"/>
    <col min="10769" max="10769" width="10.14062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4" width="12" style="123" customWidth="1"/>
    <col min="11015" max="11016" width="8.5703125" style="123" customWidth="1"/>
    <col min="11017" max="11017" width="10.28515625" style="123" customWidth="1"/>
    <col min="11018" max="11019" width="10.85546875" style="123" customWidth="1"/>
    <col min="11020" max="11023" width="10.28515625" style="123" customWidth="1"/>
    <col min="11024" max="11024" width="9.140625" style="123"/>
    <col min="11025" max="11025" width="10.14062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0" width="12" style="123" customWidth="1"/>
    <col min="11271" max="11272" width="8.5703125" style="123" customWidth="1"/>
    <col min="11273" max="11273" width="10.28515625" style="123" customWidth="1"/>
    <col min="11274" max="11275" width="10.85546875" style="123" customWidth="1"/>
    <col min="11276" max="11279" width="10.28515625" style="123" customWidth="1"/>
    <col min="11280" max="11280" width="9.140625" style="123"/>
    <col min="11281" max="11281" width="10.14062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26" width="12" style="123" customWidth="1"/>
    <col min="11527" max="11528" width="8.5703125" style="123" customWidth="1"/>
    <col min="11529" max="11529" width="10.28515625" style="123" customWidth="1"/>
    <col min="11530" max="11531" width="10.85546875" style="123" customWidth="1"/>
    <col min="11532" max="11535" width="10.28515625" style="123" customWidth="1"/>
    <col min="11536" max="11536" width="9.140625" style="123"/>
    <col min="11537" max="11537" width="10.14062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2" width="12" style="123" customWidth="1"/>
    <col min="11783" max="11784" width="8.5703125" style="123" customWidth="1"/>
    <col min="11785" max="11785" width="10.28515625" style="123" customWidth="1"/>
    <col min="11786" max="11787" width="10.85546875" style="123" customWidth="1"/>
    <col min="11788" max="11791" width="10.28515625" style="123" customWidth="1"/>
    <col min="11792" max="11792" width="9.140625" style="123"/>
    <col min="11793" max="11793" width="10.14062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38" width="12" style="123" customWidth="1"/>
    <col min="12039" max="12040" width="8.5703125" style="123" customWidth="1"/>
    <col min="12041" max="12041" width="10.28515625" style="123" customWidth="1"/>
    <col min="12042" max="12043" width="10.85546875" style="123" customWidth="1"/>
    <col min="12044" max="12047" width="10.28515625" style="123" customWidth="1"/>
    <col min="12048" max="12048" width="9.140625" style="123"/>
    <col min="12049" max="12049" width="10.14062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4" width="12" style="123" customWidth="1"/>
    <col min="12295" max="12296" width="8.5703125" style="123" customWidth="1"/>
    <col min="12297" max="12297" width="10.28515625" style="123" customWidth="1"/>
    <col min="12298" max="12299" width="10.85546875" style="123" customWidth="1"/>
    <col min="12300" max="12303" width="10.28515625" style="123" customWidth="1"/>
    <col min="12304" max="12304" width="9.140625" style="123"/>
    <col min="12305" max="12305" width="10.14062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0" width="12" style="123" customWidth="1"/>
    <col min="12551" max="12552" width="8.5703125" style="123" customWidth="1"/>
    <col min="12553" max="12553" width="10.28515625" style="123" customWidth="1"/>
    <col min="12554" max="12555" width="10.85546875" style="123" customWidth="1"/>
    <col min="12556" max="12559" width="10.28515625" style="123" customWidth="1"/>
    <col min="12560" max="12560" width="9.140625" style="123"/>
    <col min="12561" max="12561" width="10.14062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06" width="12" style="123" customWidth="1"/>
    <col min="12807" max="12808" width="8.5703125" style="123" customWidth="1"/>
    <col min="12809" max="12809" width="10.28515625" style="123" customWidth="1"/>
    <col min="12810" max="12811" width="10.85546875" style="123" customWidth="1"/>
    <col min="12812" max="12815" width="10.28515625" style="123" customWidth="1"/>
    <col min="12816" max="12816" width="9.140625" style="123"/>
    <col min="12817" max="12817" width="10.14062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2" width="12" style="123" customWidth="1"/>
    <col min="13063" max="13064" width="8.5703125" style="123" customWidth="1"/>
    <col min="13065" max="13065" width="10.28515625" style="123" customWidth="1"/>
    <col min="13066" max="13067" width="10.85546875" style="123" customWidth="1"/>
    <col min="13068" max="13071" width="10.28515625" style="123" customWidth="1"/>
    <col min="13072" max="13072" width="9.140625" style="123"/>
    <col min="13073" max="13073" width="10.14062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18" width="12" style="123" customWidth="1"/>
    <col min="13319" max="13320" width="8.5703125" style="123" customWidth="1"/>
    <col min="13321" max="13321" width="10.28515625" style="123" customWidth="1"/>
    <col min="13322" max="13323" width="10.85546875" style="123" customWidth="1"/>
    <col min="13324" max="13327" width="10.28515625" style="123" customWidth="1"/>
    <col min="13328" max="13328" width="9.140625" style="123"/>
    <col min="13329" max="13329" width="10.14062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4" width="12" style="123" customWidth="1"/>
    <col min="13575" max="13576" width="8.5703125" style="123" customWidth="1"/>
    <col min="13577" max="13577" width="10.28515625" style="123" customWidth="1"/>
    <col min="13578" max="13579" width="10.85546875" style="123" customWidth="1"/>
    <col min="13580" max="13583" width="10.28515625" style="123" customWidth="1"/>
    <col min="13584" max="13584" width="9.140625" style="123"/>
    <col min="13585" max="13585" width="10.14062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0" width="12" style="123" customWidth="1"/>
    <col min="13831" max="13832" width="8.5703125" style="123" customWidth="1"/>
    <col min="13833" max="13833" width="10.28515625" style="123" customWidth="1"/>
    <col min="13834" max="13835" width="10.85546875" style="123" customWidth="1"/>
    <col min="13836" max="13839" width="10.28515625" style="123" customWidth="1"/>
    <col min="13840" max="13840" width="9.140625" style="123"/>
    <col min="13841" max="13841" width="10.14062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86" width="12" style="123" customWidth="1"/>
    <col min="14087" max="14088" width="8.5703125" style="123" customWidth="1"/>
    <col min="14089" max="14089" width="10.28515625" style="123" customWidth="1"/>
    <col min="14090" max="14091" width="10.85546875" style="123" customWidth="1"/>
    <col min="14092" max="14095" width="10.28515625" style="123" customWidth="1"/>
    <col min="14096" max="14096" width="9.140625" style="123"/>
    <col min="14097" max="14097" width="10.14062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2" width="12" style="123" customWidth="1"/>
    <col min="14343" max="14344" width="8.5703125" style="123" customWidth="1"/>
    <col min="14345" max="14345" width="10.28515625" style="123" customWidth="1"/>
    <col min="14346" max="14347" width="10.85546875" style="123" customWidth="1"/>
    <col min="14348" max="14351" width="10.28515625" style="123" customWidth="1"/>
    <col min="14352" max="14352" width="9.140625" style="123"/>
    <col min="14353" max="14353" width="10.14062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598" width="12" style="123" customWidth="1"/>
    <col min="14599" max="14600" width="8.5703125" style="123" customWidth="1"/>
    <col min="14601" max="14601" width="10.28515625" style="123" customWidth="1"/>
    <col min="14602" max="14603" width="10.85546875" style="123" customWidth="1"/>
    <col min="14604" max="14607" width="10.28515625" style="123" customWidth="1"/>
    <col min="14608" max="14608" width="9.140625" style="123"/>
    <col min="14609" max="14609" width="10.14062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4" width="12" style="123" customWidth="1"/>
    <col min="14855" max="14856" width="8.5703125" style="123" customWidth="1"/>
    <col min="14857" max="14857" width="10.28515625" style="123" customWidth="1"/>
    <col min="14858" max="14859" width="10.85546875" style="123" customWidth="1"/>
    <col min="14860" max="14863" width="10.28515625" style="123" customWidth="1"/>
    <col min="14864" max="14864" width="9.140625" style="123"/>
    <col min="14865" max="14865" width="10.14062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0" width="12" style="123" customWidth="1"/>
    <col min="15111" max="15112" width="8.5703125" style="123" customWidth="1"/>
    <col min="15113" max="15113" width="10.28515625" style="123" customWidth="1"/>
    <col min="15114" max="15115" width="10.85546875" style="123" customWidth="1"/>
    <col min="15116" max="15119" width="10.28515625" style="123" customWidth="1"/>
    <col min="15120" max="15120" width="9.140625" style="123"/>
    <col min="15121" max="15121" width="10.14062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66" width="12" style="123" customWidth="1"/>
    <col min="15367" max="15368" width="8.5703125" style="123" customWidth="1"/>
    <col min="15369" max="15369" width="10.28515625" style="123" customWidth="1"/>
    <col min="15370" max="15371" width="10.85546875" style="123" customWidth="1"/>
    <col min="15372" max="15375" width="10.28515625" style="123" customWidth="1"/>
    <col min="15376" max="15376" width="9.140625" style="123"/>
    <col min="15377" max="15377" width="10.14062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2" width="12" style="123" customWidth="1"/>
    <col min="15623" max="15624" width="8.5703125" style="123" customWidth="1"/>
    <col min="15625" max="15625" width="10.28515625" style="123" customWidth="1"/>
    <col min="15626" max="15627" width="10.85546875" style="123" customWidth="1"/>
    <col min="15628" max="15631" width="10.28515625" style="123" customWidth="1"/>
    <col min="15632" max="15632" width="9.140625" style="123"/>
    <col min="15633" max="15633" width="10.14062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78" width="12" style="123" customWidth="1"/>
    <col min="15879" max="15880" width="8.5703125" style="123" customWidth="1"/>
    <col min="15881" max="15881" width="10.28515625" style="123" customWidth="1"/>
    <col min="15882" max="15883" width="10.85546875" style="123" customWidth="1"/>
    <col min="15884" max="15887" width="10.28515625" style="123" customWidth="1"/>
    <col min="15888" max="15888" width="9.140625" style="123"/>
    <col min="15889" max="15889" width="10.14062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4" width="12" style="123" customWidth="1"/>
    <col min="16135" max="16136" width="8.5703125" style="123" customWidth="1"/>
    <col min="16137" max="16137" width="10.28515625" style="123" customWidth="1"/>
    <col min="16138" max="16139" width="10.85546875" style="123" customWidth="1"/>
    <col min="16140" max="16143" width="10.28515625" style="123" customWidth="1"/>
    <col min="16144" max="16144" width="9.140625" style="123"/>
    <col min="16145" max="16145" width="10.140625" style="123" customWidth="1"/>
    <col min="16146" max="16384" width="9.140625" style="123"/>
  </cols>
  <sheetData>
    <row r="1" spans="1:39" s="217" customFormat="1" ht="15.75" x14ac:dyDescent="0.25">
      <c r="L1" s="292"/>
    </row>
    <row r="2" spans="1:39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9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9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39" s="8" customFormat="1" ht="18" customHeight="1" thickBot="1" x14ac:dyDescent="0.3">
      <c r="B5" s="9"/>
      <c r="M5" s="10"/>
      <c r="N5" s="10"/>
      <c r="O5" s="10"/>
      <c r="P5" s="11"/>
    </row>
    <row r="6" spans="1:39" s="13" customFormat="1" ht="32.1" customHeight="1" thickBot="1" x14ac:dyDescent="0.3">
      <c r="A6" s="216"/>
      <c r="B6" s="359" t="s">
        <v>1307</v>
      </c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8"/>
      <c r="O6" s="358"/>
      <c r="P6" s="358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39" s="17" customFormat="1" ht="18" customHeight="1" x14ac:dyDescent="0.25">
      <c r="A8" s="59"/>
      <c r="B8" s="341" t="s">
        <v>1</v>
      </c>
      <c r="C8" s="337" t="s">
        <v>2</v>
      </c>
      <c r="D8" s="338"/>
      <c r="E8" s="346" t="s">
        <v>3</v>
      </c>
      <c r="F8" s="346"/>
      <c r="G8" s="219" t="s">
        <v>4</v>
      </c>
      <c r="H8" s="330" t="s">
        <v>5</v>
      </c>
      <c r="I8" s="331"/>
      <c r="J8" s="331"/>
      <c r="K8" s="331"/>
      <c r="L8" s="332"/>
      <c r="M8" s="325" t="s">
        <v>433</v>
      </c>
      <c r="N8" s="328" t="s">
        <v>7</v>
      </c>
      <c r="O8" s="312" t="s">
        <v>8</v>
      </c>
      <c r="P8" s="16" t="s">
        <v>9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74" t="s">
        <v>1295</v>
      </c>
      <c r="B9" s="342"/>
      <c r="C9" s="339"/>
      <c r="D9" s="340"/>
      <c r="E9" s="369" t="s">
        <v>355</v>
      </c>
      <c r="F9" s="382"/>
      <c r="G9" s="116"/>
      <c r="H9" s="333" t="s">
        <v>42</v>
      </c>
      <c r="I9" s="349"/>
      <c r="J9" s="344" t="s">
        <v>43</v>
      </c>
      <c r="K9" s="383"/>
      <c r="L9" s="306" t="s">
        <v>1316</v>
      </c>
      <c r="M9" s="326" t="s">
        <v>434</v>
      </c>
      <c r="N9" s="329"/>
      <c r="O9" s="313"/>
      <c r="P9" s="22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43"/>
      <c r="C10" s="23" t="s">
        <v>12</v>
      </c>
      <c r="D10" s="24" t="s">
        <v>13</v>
      </c>
      <c r="E10" s="23" t="s">
        <v>435</v>
      </c>
      <c r="F10" s="24" t="s">
        <v>436</v>
      </c>
      <c r="G10" s="25" t="s">
        <v>16</v>
      </c>
      <c r="H10" s="191" t="s">
        <v>717</v>
      </c>
      <c r="I10" s="187" t="s">
        <v>17</v>
      </c>
      <c r="J10" s="202" t="s">
        <v>717</v>
      </c>
      <c r="K10" s="307" t="s">
        <v>18</v>
      </c>
      <c r="L10" s="304" t="s">
        <v>1407</v>
      </c>
      <c r="M10" s="327" t="s">
        <v>437</v>
      </c>
      <c r="N10" s="26" t="s">
        <v>19</v>
      </c>
      <c r="O10" s="27" t="s">
        <v>20</v>
      </c>
      <c r="P10" s="28" t="s">
        <v>21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136" customFormat="1" ht="18" customHeight="1" thickBot="1" x14ac:dyDescent="0.3">
      <c r="A11" s="157"/>
      <c r="B11" s="269" t="s">
        <v>555</v>
      </c>
      <c r="C11" s="30">
        <v>0.75</v>
      </c>
      <c r="D11" s="31">
        <v>1</v>
      </c>
      <c r="E11" s="30">
        <v>10</v>
      </c>
      <c r="F11" s="31">
        <v>10</v>
      </c>
      <c r="G11" s="32">
        <v>40</v>
      </c>
      <c r="H11" s="259"/>
      <c r="I11" s="237" t="s">
        <v>28</v>
      </c>
      <c r="J11" s="267"/>
      <c r="K11" s="268" t="s">
        <v>28</v>
      </c>
      <c r="L11" s="321"/>
      <c r="M11" s="30" t="s">
        <v>556</v>
      </c>
      <c r="N11" s="34">
        <v>2900</v>
      </c>
      <c r="O11" s="34">
        <v>31</v>
      </c>
      <c r="P11" s="37">
        <f>0.6*0.365*0.29</f>
        <v>6.3509999999999997E-2</v>
      </c>
      <c r="Q11" s="123"/>
    </row>
    <row r="12" spans="1:39" s="136" customFormat="1" ht="18" customHeight="1" thickBot="1" x14ac:dyDescent="0.3">
      <c r="A12" s="157"/>
      <c r="B12" s="269" t="s">
        <v>557</v>
      </c>
      <c r="C12" s="30">
        <v>1.1000000000000001</v>
      </c>
      <c r="D12" s="31">
        <v>1.5</v>
      </c>
      <c r="E12" s="30">
        <v>15</v>
      </c>
      <c r="F12" s="31">
        <v>10</v>
      </c>
      <c r="G12" s="32">
        <v>40</v>
      </c>
      <c r="H12" s="259"/>
      <c r="I12" s="237" t="s">
        <v>28</v>
      </c>
      <c r="J12" s="267"/>
      <c r="K12" s="268" t="s">
        <v>28</v>
      </c>
      <c r="L12" s="321"/>
      <c r="M12" s="30" t="s">
        <v>556</v>
      </c>
      <c r="N12" s="34">
        <v>2900</v>
      </c>
      <c r="O12" s="34">
        <v>33</v>
      </c>
      <c r="P12" s="37">
        <f>0.6*0.365*0.29</f>
        <v>6.3509999999999997E-2</v>
      </c>
      <c r="Q12" s="123"/>
    </row>
    <row r="13" spans="1:39" s="136" customFormat="1" ht="18" customHeight="1" thickBot="1" x14ac:dyDescent="0.3">
      <c r="A13" s="131"/>
      <c r="B13" s="29" t="s">
        <v>558</v>
      </c>
      <c r="C13" s="76">
        <v>0.75</v>
      </c>
      <c r="D13" s="178">
        <v>1</v>
      </c>
      <c r="E13" s="76">
        <v>10</v>
      </c>
      <c r="F13" s="178">
        <v>10</v>
      </c>
      <c r="G13" s="92">
        <v>50</v>
      </c>
      <c r="H13" s="258"/>
      <c r="I13" s="186">
        <v>319.21239015751689</v>
      </c>
      <c r="J13" s="254">
        <v>100589866</v>
      </c>
      <c r="K13" s="166">
        <v>308</v>
      </c>
      <c r="L13" s="33">
        <v>401</v>
      </c>
      <c r="M13" s="76" t="s">
        <v>556</v>
      </c>
      <c r="N13" s="81">
        <v>2900</v>
      </c>
      <c r="O13" s="81">
        <v>31</v>
      </c>
      <c r="P13" s="82">
        <f>0.6*0.365*0.29</f>
        <v>6.3509999999999997E-2</v>
      </c>
      <c r="Q13" s="123"/>
    </row>
    <row r="14" spans="1:39" s="136" customFormat="1" ht="18" customHeight="1" thickBot="1" x14ac:dyDescent="0.3">
      <c r="A14" s="131"/>
      <c r="B14" s="29" t="s">
        <v>559</v>
      </c>
      <c r="C14" s="76">
        <v>1.1000000000000001</v>
      </c>
      <c r="D14" s="178">
        <v>1.5</v>
      </c>
      <c r="E14" s="76">
        <v>15</v>
      </c>
      <c r="F14" s="178">
        <v>10</v>
      </c>
      <c r="G14" s="92">
        <v>50</v>
      </c>
      <c r="H14" s="258"/>
      <c r="I14" s="186">
        <v>370.64798036844479</v>
      </c>
      <c r="J14" s="254">
        <v>100589867</v>
      </c>
      <c r="K14" s="166">
        <v>355.99663042957445</v>
      </c>
      <c r="L14" s="33">
        <v>448.99663042957445</v>
      </c>
      <c r="M14" s="76" t="s">
        <v>556</v>
      </c>
      <c r="N14" s="81">
        <v>2900</v>
      </c>
      <c r="O14" s="81">
        <v>33</v>
      </c>
      <c r="P14" s="82">
        <f>0.6*0.365*0.29</f>
        <v>6.3509999999999997E-2</v>
      </c>
      <c r="Q14" s="123"/>
    </row>
    <row r="15" spans="1:39" s="136" customFormat="1" ht="18" customHeight="1" thickBot="1" x14ac:dyDescent="0.3">
      <c r="A15" s="131"/>
      <c r="B15" s="29" t="s">
        <v>560</v>
      </c>
      <c r="C15" s="76">
        <v>1.5</v>
      </c>
      <c r="D15" s="178">
        <v>2</v>
      </c>
      <c r="E15" s="76">
        <v>15</v>
      </c>
      <c r="F15" s="178">
        <v>15</v>
      </c>
      <c r="G15" s="92">
        <v>50</v>
      </c>
      <c r="H15" s="258"/>
      <c r="I15" s="186">
        <v>419.5897237812672</v>
      </c>
      <c r="J15" s="254">
        <v>100589868</v>
      </c>
      <c r="K15" s="166">
        <v>399.9506802461857</v>
      </c>
      <c r="L15" s="33">
        <v>492.9506802461857</v>
      </c>
      <c r="M15" s="76" t="s">
        <v>556</v>
      </c>
      <c r="N15" s="81">
        <v>2900</v>
      </c>
      <c r="O15" s="81">
        <v>35</v>
      </c>
      <c r="P15" s="82">
        <f>0.6*0.365*0.29</f>
        <v>6.3509999999999997E-2</v>
      </c>
      <c r="Q15" s="123"/>
    </row>
    <row r="16" spans="1:39" s="136" customFormat="1" ht="18" customHeight="1" thickBot="1" x14ac:dyDescent="0.3">
      <c r="B16" s="29" t="s">
        <v>561</v>
      </c>
      <c r="C16" s="76">
        <v>2.2000000000000002</v>
      </c>
      <c r="D16" s="178">
        <v>3</v>
      </c>
      <c r="E16" s="76">
        <v>9</v>
      </c>
      <c r="F16" s="178">
        <v>22</v>
      </c>
      <c r="G16" s="92">
        <v>50</v>
      </c>
      <c r="H16" s="258"/>
      <c r="I16" s="186">
        <v>495.02858942396165</v>
      </c>
      <c r="J16" s="254">
        <v>100589870</v>
      </c>
      <c r="K16" s="166">
        <v>473</v>
      </c>
      <c r="L16" s="33">
        <v>566</v>
      </c>
      <c r="M16" s="76" t="s">
        <v>556</v>
      </c>
      <c r="N16" s="81">
        <v>2900</v>
      </c>
      <c r="O16" s="81">
        <v>53</v>
      </c>
      <c r="P16" s="82">
        <f>0.64*0.365*0.29</f>
        <v>6.7743999999999999E-2</v>
      </c>
      <c r="Q16" s="123"/>
    </row>
    <row r="17" spans="1:17" s="152" customFormat="1" ht="18" customHeight="1" thickBot="1" x14ac:dyDescent="0.3">
      <c r="A17" s="151"/>
      <c r="B17" s="29" t="s">
        <v>562</v>
      </c>
      <c r="C17" s="76">
        <v>2.2000000000000002</v>
      </c>
      <c r="D17" s="178">
        <v>3</v>
      </c>
      <c r="E17" s="76">
        <v>15</v>
      </c>
      <c r="F17" s="178">
        <v>20</v>
      </c>
      <c r="G17" s="92">
        <v>50</v>
      </c>
      <c r="H17" s="258"/>
      <c r="I17" s="186">
        <v>505.00397661638408</v>
      </c>
      <c r="J17" s="254">
        <v>100589869</v>
      </c>
      <c r="K17" s="166">
        <v>482</v>
      </c>
      <c r="L17" s="33">
        <v>575</v>
      </c>
      <c r="M17" s="76" t="s">
        <v>556</v>
      </c>
      <c r="N17" s="81">
        <v>2900</v>
      </c>
      <c r="O17" s="81">
        <v>53</v>
      </c>
      <c r="P17" s="82">
        <f>0.64*0.365*0.29</f>
        <v>6.7743999999999999E-2</v>
      </c>
      <c r="Q17" s="123"/>
    </row>
    <row r="18" spans="1:17" s="152" customFormat="1" ht="18" customHeight="1" thickBot="1" x14ac:dyDescent="0.3">
      <c r="A18" s="151"/>
      <c r="B18" s="29" t="s">
        <v>563</v>
      </c>
      <c r="C18" s="76">
        <v>3</v>
      </c>
      <c r="D18" s="178">
        <v>4</v>
      </c>
      <c r="E18" s="76">
        <v>15</v>
      </c>
      <c r="F18" s="178">
        <v>30</v>
      </c>
      <c r="G18" s="92">
        <v>50</v>
      </c>
      <c r="H18" s="259"/>
      <c r="I18" s="189"/>
      <c r="J18" s="254">
        <v>100589871</v>
      </c>
      <c r="K18" s="166">
        <v>613.79804318374079</v>
      </c>
      <c r="L18" s="33">
        <v>706.79804318374079</v>
      </c>
      <c r="M18" s="76" t="s">
        <v>556</v>
      </c>
      <c r="N18" s="81">
        <v>2900</v>
      </c>
      <c r="O18" s="81">
        <v>57</v>
      </c>
      <c r="P18" s="82">
        <f>0.68*0.365*0.29</f>
        <v>7.1978E-2</v>
      </c>
      <c r="Q18" s="123"/>
    </row>
    <row r="19" spans="1:17" s="152" customFormat="1" ht="18" customHeight="1" thickBot="1" x14ac:dyDescent="0.3">
      <c r="A19" s="151"/>
      <c r="B19" s="84" t="s">
        <v>564</v>
      </c>
      <c r="C19" s="76">
        <v>1.1000000000000001</v>
      </c>
      <c r="D19" s="178">
        <v>1.5</v>
      </c>
      <c r="E19" s="76">
        <v>15</v>
      </c>
      <c r="F19" s="178">
        <v>10</v>
      </c>
      <c r="G19" s="92">
        <v>65</v>
      </c>
      <c r="H19" s="258"/>
      <c r="I19" s="186">
        <v>396.52164089879045</v>
      </c>
      <c r="J19" s="254"/>
      <c r="K19" s="85">
        <v>379.37644416181439</v>
      </c>
      <c r="L19" s="41">
        <v>514.37644416181433</v>
      </c>
      <c r="M19" s="76" t="s">
        <v>556</v>
      </c>
      <c r="N19" s="81">
        <v>2900</v>
      </c>
      <c r="O19" s="81">
        <v>38</v>
      </c>
      <c r="P19" s="82">
        <f>0.58*0.365*0.29</f>
        <v>6.1392999999999989E-2</v>
      </c>
      <c r="Q19" s="123"/>
    </row>
    <row r="20" spans="1:17" s="152" customFormat="1" ht="18" customHeight="1" thickBot="1" x14ac:dyDescent="0.3">
      <c r="B20" s="29" t="s">
        <v>565</v>
      </c>
      <c r="C20" s="76">
        <v>1.5</v>
      </c>
      <c r="D20" s="178">
        <v>2</v>
      </c>
      <c r="E20" s="76">
        <v>25</v>
      </c>
      <c r="F20" s="178">
        <v>10</v>
      </c>
      <c r="G20" s="92">
        <v>65</v>
      </c>
      <c r="H20" s="258"/>
      <c r="I20" s="186">
        <v>434.55280456990084</v>
      </c>
      <c r="J20" s="254">
        <v>100589872</v>
      </c>
      <c r="K20" s="166">
        <v>416</v>
      </c>
      <c r="L20" s="33">
        <v>551</v>
      </c>
      <c r="M20" s="76" t="s">
        <v>556</v>
      </c>
      <c r="N20" s="81">
        <v>2900</v>
      </c>
      <c r="O20" s="81">
        <v>39</v>
      </c>
      <c r="P20" s="82">
        <f>0.6*0.365*0.29</f>
        <v>6.3509999999999997E-2</v>
      </c>
      <c r="Q20" s="123"/>
    </row>
    <row r="21" spans="1:17" s="136" customFormat="1" ht="18" customHeight="1" thickBot="1" x14ac:dyDescent="0.3">
      <c r="A21" s="131"/>
      <c r="B21" s="29" t="s">
        <v>566</v>
      </c>
      <c r="C21" s="76">
        <v>2.2000000000000002</v>
      </c>
      <c r="D21" s="178">
        <v>3</v>
      </c>
      <c r="E21" s="76">
        <v>25</v>
      </c>
      <c r="F21" s="178">
        <v>17</v>
      </c>
      <c r="G21" s="92">
        <v>65</v>
      </c>
      <c r="H21" s="258"/>
      <c r="I21" s="186">
        <v>525.57821270075522</v>
      </c>
      <c r="J21" s="254">
        <v>100589873</v>
      </c>
      <c r="K21" s="166">
        <v>500.63974471969925</v>
      </c>
      <c r="L21" s="33">
        <v>635.63974471969925</v>
      </c>
      <c r="M21" s="76" t="s">
        <v>556</v>
      </c>
      <c r="N21" s="81">
        <v>2900</v>
      </c>
      <c r="O21" s="81">
        <v>53</v>
      </c>
      <c r="P21" s="82">
        <f>0.64*0.365*0.29</f>
        <v>6.7743999999999999E-2</v>
      </c>
      <c r="Q21" s="123"/>
    </row>
    <row r="22" spans="1:17" s="136" customFormat="1" ht="18" customHeight="1" thickBot="1" x14ac:dyDescent="0.3">
      <c r="A22" s="131"/>
      <c r="B22" s="29" t="s">
        <v>567</v>
      </c>
      <c r="C22" s="76">
        <v>3</v>
      </c>
      <c r="D22" s="178">
        <v>4</v>
      </c>
      <c r="E22" s="76">
        <v>25</v>
      </c>
      <c r="F22" s="178">
        <v>21</v>
      </c>
      <c r="G22" s="92">
        <v>65</v>
      </c>
      <c r="H22" s="259"/>
      <c r="I22" s="189"/>
      <c r="J22" s="254">
        <v>100589874</v>
      </c>
      <c r="K22" s="166">
        <v>648.08843665769268</v>
      </c>
      <c r="L22" s="33">
        <v>783.08843665769268</v>
      </c>
      <c r="M22" s="76" t="s">
        <v>556</v>
      </c>
      <c r="N22" s="81">
        <v>2900</v>
      </c>
      <c r="O22" s="81">
        <v>57</v>
      </c>
      <c r="P22" s="82">
        <f>0.68*0.365*0.29</f>
        <v>7.1978E-2</v>
      </c>
      <c r="Q22" s="123"/>
    </row>
    <row r="23" spans="1:17" s="136" customFormat="1" ht="18" customHeight="1" thickBot="1" x14ac:dyDescent="0.3">
      <c r="A23" s="131"/>
      <c r="B23" s="29" t="s">
        <v>568</v>
      </c>
      <c r="C23" s="76">
        <v>4</v>
      </c>
      <c r="D23" s="178">
        <v>5.5</v>
      </c>
      <c r="E23" s="76">
        <v>25</v>
      </c>
      <c r="F23" s="178">
        <v>26</v>
      </c>
      <c r="G23" s="92">
        <v>65</v>
      </c>
      <c r="H23" s="259"/>
      <c r="I23" s="236"/>
      <c r="J23" s="254">
        <v>100589875</v>
      </c>
      <c r="K23" s="166">
        <v>731</v>
      </c>
      <c r="L23" s="33">
        <v>866</v>
      </c>
      <c r="M23" s="76" t="s">
        <v>556</v>
      </c>
      <c r="N23" s="81">
        <v>2900</v>
      </c>
      <c r="O23" s="81">
        <v>80</v>
      </c>
      <c r="P23" s="82">
        <f>0.76*0.365*0.35</f>
        <v>9.7089999999999982E-2</v>
      </c>
      <c r="Q23" s="123"/>
    </row>
    <row r="24" spans="1:17" s="136" customFormat="1" ht="18" customHeight="1" thickBot="1" x14ac:dyDescent="0.3">
      <c r="A24" s="216"/>
      <c r="B24" s="29" t="s">
        <v>569</v>
      </c>
      <c r="C24" s="76">
        <v>5.5</v>
      </c>
      <c r="D24" s="178">
        <v>7.5</v>
      </c>
      <c r="E24" s="76">
        <v>30</v>
      </c>
      <c r="F24" s="178">
        <v>30</v>
      </c>
      <c r="G24" s="92">
        <v>65</v>
      </c>
      <c r="H24" s="259"/>
      <c r="I24" s="236"/>
      <c r="J24" s="254">
        <v>100589876</v>
      </c>
      <c r="K24" s="166">
        <v>842.29675606016644</v>
      </c>
      <c r="L24" s="33">
        <v>977.29675606016644</v>
      </c>
      <c r="M24" s="76" t="s">
        <v>556</v>
      </c>
      <c r="N24" s="81">
        <v>2900</v>
      </c>
      <c r="O24" s="81">
        <v>84</v>
      </c>
      <c r="P24" s="82">
        <f>0.8*0.365*0.35</f>
        <v>0.10219999999999999</v>
      </c>
      <c r="Q24" s="123"/>
    </row>
    <row r="25" spans="1:17" s="136" customFormat="1" ht="18" customHeight="1" thickBot="1" x14ac:dyDescent="0.3">
      <c r="A25" s="131"/>
      <c r="B25" s="29" t="s">
        <v>570</v>
      </c>
      <c r="C25" s="76">
        <v>7.5</v>
      </c>
      <c r="D25" s="178">
        <v>10</v>
      </c>
      <c r="E25" s="76">
        <v>30</v>
      </c>
      <c r="F25" s="178">
        <v>36</v>
      </c>
      <c r="G25" s="92">
        <v>65</v>
      </c>
      <c r="H25" s="259"/>
      <c r="I25" s="236"/>
      <c r="J25" s="254">
        <v>100589877</v>
      </c>
      <c r="K25" s="166">
        <v>1344</v>
      </c>
      <c r="L25" s="33">
        <v>1479</v>
      </c>
      <c r="M25" s="76" t="s">
        <v>556</v>
      </c>
      <c r="N25" s="81">
        <v>2900</v>
      </c>
      <c r="O25" s="81">
        <v>145</v>
      </c>
      <c r="P25" s="82">
        <f>0.85*0.41*0.38</f>
        <v>0.13242999999999999</v>
      </c>
      <c r="Q25" s="123"/>
    </row>
    <row r="26" spans="1:17" s="136" customFormat="1" ht="18" customHeight="1" thickBot="1" x14ac:dyDescent="0.3">
      <c r="A26" s="131"/>
      <c r="B26" s="29" t="s">
        <v>571</v>
      </c>
      <c r="C26" s="76">
        <v>2.2000000000000002</v>
      </c>
      <c r="D26" s="178">
        <v>3</v>
      </c>
      <c r="E26" s="76">
        <v>45</v>
      </c>
      <c r="F26" s="178">
        <v>9</v>
      </c>
      <c r="G26" s="92">
        <v>80</v>
      </c>
      <c r="H26" s="258"/>
      <c r="I26" s="252">
        <v>541.47648603867844</v>
      </c>
      <c r="J26" s="254">
        <v>100589878</v>
      </c>
      <c r="K26" s="166">
        <v>515.6028255083329</v>
      </c>
      <c r="L26" s="33">
        <v>703.6028255083329</v>
      </c>
      <c r="M26" s="76" t="s">
        <v>556</v>
      </c>
      <c r="N26" s="81">
        <v>2900</v>
      </c>
      <c r="O26" s="81">
        <v>55</v>
      </c>
      <c r="P26" s="82">
        <f>0.64*0.38*0.28</f>
        <v>6.8096000000000004E-2</v>
      </c>
      <c r="Q26" s="123"/>
    </row>
    <row r="27" spans="1:17" s="136" customFormat="1" ht="18" customHeight="1" thickBot="1" x14ac:dyDescent="0.3">
      <c r="A27" s="131"/>
      <c r="B27" s="29" t="s">
        <v>572</v>
      </c>
      <c r="C27" s="76">
        <v>3</v>
      </c>
      <c r="D27" s="178">
        <v>4</v>
      </c>
      <c r="E27" s="76">
        <v>43</v>
      </c>
      <c r="F27" s="178">
        <v>13</v>
      </c>
      <c r="G27" s="92">
        <v>80</v>
      </c>
      <c r="H27" s="259"/>
      <c r="I27" s="236"/>
      <c r="J27" s="254">
        <v>100589879</v>
      </c>
      <c r="K27" s="166">
        <v>662.73978659656336</v>
      </c>
      <c r="L27" s="33">
        <v>850.73978659656336</v>
      </c>
      <c r="M27" s="76" t="s">
        <v>556</v>
      </c>
      <c r="N27" s="81">
        <v>2900</v>
      </c>
      <c r="O27" s="81">
        <v>59</v>
      </c>
      <c r="P27" s="82">
        <f>0.7*0.38*0.35</f>
        <v>9.3099999999999974E-2</v>
      </c>
      <c r="Q27" s="123"/>
    </row>
    <row r="28" spans="1:17" s="136" customFormat="1" ht="18" customHeight="1" thickBot="1" x14ac:dyDescent="0.3">
      <c r="A28" s="131"/>
      <c r="B28" s="29" t="s">
        <v>573</v>
      </c>
      <c r="C28" s="76">
        <v>4</v>
      </c>
      <c r="D28" s="178">
        <v>5.5</v>
      </c>
      <c r="E28" s="76">
        <v>45</v>
      </c>
      <c r="F28" s="178">
        <v>17</v>
      </c>
      <c r="G28" s="92">
        <v>80</v>
      </c>
      <c r="H28" s="259"/>
      <c r="I28" s="236"/>
      <c r="J28" s="254">
        <v>100589880</v>
      </c>
      <c r="K28" s="166">
        <v>759.69600000000003</v>
      </c>
      <c r="L28" s="33">
        <v>947.69600000000003</v>
      </c>
      <c r="M28" s="76" t="s">
        <v>556</v>
      </c>
      <c r="N28" s="81">
        <v>2900</v>
      </c>
      <c r="O28" s="81">
        <v>87</v>
      </c>
      <c r="P28" s="82">
        <f>0.76*0.41*0.35</f>
        <v>0.10905999999999999</v>
      </c>
      <c r="Q28" s="123"/>
    </row>
    <row r="29" spans="1:17" s="136" customFormat="1" ht="18" customHeight="1" thickBot="1" x14ac:dyDescent="0.3">
      <c r="A29" s="131"/>
      <c r="B29" s="29" t="s">
        <v>574</v>
      </c>
      <c r="C29" s="76">
        <v>5.5</v>
      </c>
      <c r="D29" s="178">
        <v>7.5</v>
      </c>
      <c r="E29" s="76">
        <v>40</v>
      </c>
      <c r="F29" s="178">
        <v>23</v>
      </c>
      <c r="G29" s="92">
        <v>80</v>
      </c>
      <c r="H29" s="259"/>
      <c r="I29" s="236"/>
      <c r="J29" s="254">
        <v>100589881</v>
      </c>
      <c r="K29" s="166">
        <v>884</v>
      </c>
      <c r="L29" s="33">
        <v>1072</v>
      </c>
      <c r="M29" s="76" t="s">
        <v>556</v>
      </c>
      <c r="N29" s="81">
        <v>2900</v>
      </c>
      <c r="O29" s="81">
        <v>91</v>
      </c>
      <c r="P29" s="82">
        <f>0.8*0.41*0.35</f>
        <v>0.1148</v>
      </c>
      <c r="Q29" s="123"/>
    </row>
    <row r="30" spans="1:17" s="136" customFormat="1" ht="18" customHeight="1" thickBot="1" x14ac:dyDescent="0.3">
      <c r="A30" s="131"/>
      <c r="B30" s="29" t="s">
        <v>575</v>
      </c>
      <c r="C30" s="76">
        <v>7.5</v>
      </c>
      <c r="D30" s="178">
        <v>10</v>
      </c>
      <c r="E30" s="76">
        <v>45</v>
      </c>
      <c r="F30" s="178">
        <v>28</v>
      </c>
      <c r="G30" s="92">
        <v>80</v>
      </c>
      <c r="H30" s="259"/>
      <c r="I30" s="236"/>
      <c r="J30" s="254">
        <v>100589882</v>
      </c>
      <c r="K30" s="166">
        <v>1359</v>
      </c>
      <c r="L30" s="33">
        <v>1547</v>
      </c>
      <c r="M30" s="76" t="s">
        <v>556</v>
      </c>
      <c r="N30" s="81">
        <v>2900</v>
      </c>
      <c r="O30" s="81">
        <v>148</v>
      </c>
      <c r="P30" s="82">
        <f>0.86*0.42*0.38</f>
        <v>0.13725599999999999</v>
      </c>
      <c r="Q30" s="123"/>
    </row>
    <row r="31" spans="1:17" s="136" customFormat="1" ht="18" customHeight="1" thickBot="1" x14ac:dyDescent="0.3">
      <c r="A31" s="131"/>
      <c r="B31" s="29" t="s">
        <v>576</v>
      </c>
      <c r="C31" s="76">
        <v>4</v>
      </c>
      <c r="D31" s="178">
        <v>5.5</v>
      </c>
      <c r="E31" s="76">
        <v>65</v>
      </c>
      <c r="F31" s="178">
        <v>12</v>
      </c>
      <c r="G31" s="92">
        <v>100</v>
      </c>
      <c r="H31" s="259"/>
      <c r="I31" s="236"/>
      <c r="J31" s="254">
        <v>100589883</v>
      </c>
      <c r="K31" s="166">
        <v>821.72251997579531</v>
      </c>
      <c r="L31" s="33">
        <v>1075.7225199757954</v>
      </c>
      <c r="M31" s="76" t="s">
        <v>556</v>
      </c>
      <c r="N31" s="81">
        <v>2900</v>
      </c>
      <c r="O31" s="81">
        <v>93</v>
      </c>
      <c r="P31" s="82">
        <f>0.76*0.41*0.35</f>
        <v>0.10905999999999999</v>
      </c>
      <c r="Q31" s="123"/>
    </row>
    <row r="32" spans="1:17" s="136" customFormat="1" ht="18" customHeight="1" thickBot="1" x14ac:dyDescent="0.3">
      <c r="A32" s="131"/>
      <c r="B32" s="29" t="s">
        <v>577</v>
      </c>
      <c r="C32" s="76">
        <v>5.5</v>
      </c>
      <c r="D32" s="178">
        <v>7.5</v>
      </c>
      <c r="E32" s="76">
        <v>65</v>
      </c>
      <c r="F32" s="178">
        <v>17</v>
      </c>
      <c r="G32" s="92">
        <v>100</v>
      </c>
      <c r="H32" s="259"/>
      <c r="I32" s="236"/>
      <c r="J32" s="254">
        <v>100589884</v>
      </c>
      <c r="K32" s="166">
        <v>913.99485150570251</v>
      </c>
      <c r="L32" s="33">
        <v>1167.9948515057026</v>
      </c>
      <c r="M32" s="76" t="s">
        <v>556</v>
      </c>
      <c r="N32" s="81">
        <v>2900</v>
      </c>
      <c r="O32" s="81">
        <v>98</v>
      </c>
      <c r="P32" s="82">
        <f>0.8*0.41*0.35</f>
        <v>0.1148</v>
      </c>
      <c r="Q32" s="123"/>
    </row>
    <row r="33" spans="1:17" s="136" customFormat="1" ht="18" customHeight="1" thickBot="1" x14ac:dyDescent="0.3">
      <c r="A33" s="131"/>
      <c r="B33" s="29" t="s">
        <v>578</v>
      </c>
      <c r="C33" s="76">
        <v>7.5</v>
      </c>
      <c r="D33" s="178">
        <v>10</v>
      </c>
      <c r="E33" s="76">
        <v>65</v>
      </c>
      <c r="F33" s="178">
        <v>23</v>
      </c>
      <c r="G33" s="92">
        <v>100</v>
      </c>
      <c r="H33" s="259"/>
      <c r="I33" s="236"/>
      <c r="J33" s="254">
        <v>100589885</v>
      </c>
      <c r="K33" s="166">
        <v>1404.0357473334529</v>
      </c>
      <c r="L33" s="33">
        <v>1658.0357473334529</v>
      </c>
      <c r="M33" s="76" t="s">
        <v>556</v>
      </c>
      <c r="N33" s="81">
        <v>2900</v>
      </c>
      <c r="O33" s="81">
        <v>150</v>
      </c>
      <c r="P33" s="82">
        <f>0.86*0.42*0.38</f>
        <v>0.13725599999999999</v>
      </c>
      <c r="Q33" s="123"/>
    </row>
    <row r="34" spans="1:17" s="136" customFormat="1" ht="18" customHeight="1" thickBot="1" x14ac:dyDescent="0.3">
      <c r="A34" s="131"/>
      <c r="B34" s="29" t="s">
        <v>579</v>
      </c>
      <c r="C34" s="76">
        <v>7.5</v>
      </c>
      <c r="D34" s="178">
        <v>10</v>
      </c>
      <c r="E34" s="76">
        <v>100</v>
      </c>
      <c r="F34" s="178">
        <v>12</v>
      </c>
      <c r="G34" s="92">
        <v>150</v>
      </c>
      <c r="H34" s="259"/>
      <c r="I34" s="236"/>
      <c r="J34" s="254">
        <v>100589886</v>
      </c>
      <c r="K34" s="166">
        <v>1558</v>
      </c>
      <c r="L34" s="33">
        <v>2202</v>
      </c>
      <c r="M34" s="76" t="s">
        <v>556</v>
      </c>
      <c r="N34" s="81">
        <v>2900</v>
      </c>
      <c r="O34" s="81">
        <v>163</v>
      </c>
      <c r="P34" s="82">
        <f>0.88*0.45*0.39</f>
        <v>0.15444000000000002</v>
      </c>
      <c r="Q34" s="123"/>
    </row>
    <row r="35" spans="1:17" s="136" customFormat="1" ht="18" customHeight="1" thickBot="1" x14ac:dyDescent="0.3">
      <c r="A35" s="131"/>
      <c r="B35" s="84" t="s">
        <v>580</v>
      </c>
      <c r="C35" s="76">
        <v>11</v>
      </c>
      <c r="D35" s="178">
        <v>15</v>
      </c>
      <c r="E35" s="76">
        <v>50</v>
      </c>
      <c r="F35" s="178">
        <v>30</v>
      </c>
      <c r="G35" s="92">
        <v>80</v>
      </c>
      <c r="H35" s="259"/>
      <c r="I35" s="236"/>
      <c r="J35" s="254"/>
      <c r="K35" s="107" t="s">
        <v>28</v>
      </c>
      <c r="L35" s="114"/>
      <c r="M35" s="76" t="s">
        <v>556</v>
      </c>
      <c r="N35" s="81">
        <v>2900</v>
      </c>
      <c r="O35" s="81"/>
      <c r="P35" s="82"/>
      <c r="Q35" s="123"/>
    </row>
    <row r="36" spans="1:17" s="136" customFormat="1" ht="18" customHeight="1" thickBot="1" x14ac:dyDescent="0.3">
      <c r="B36" s="29" t="s">
        <v>581</v>
      </c>
      <c r="C36" s="76">
        <v>11</v>
      </c>
      <c r="D36" s="178">
        <v>15</v>
      </c>
      <c r="E36" s="76">
        <v>80</v>
      </c>
      <c r="F36" s="178">
        <v>25</v>
      </c>
      <c r="G36" s="92">
        <v>100</v>
      </c>
      <c r="H36" s="259"/>
      <c r="I36" s="236"/>
      <c r="J36" s="254">
        <v>100601456</v>
      </c>
      <c r="K36" s="166">
        <v>2910</v>
      </c>
      <c r="L36" s="33">
        <v>3164</v>
      </c>
      <c r="M36" s="76" t="s">
        <v>556</v>
      </c>
      <c r="N36" s="81">
        <v>2900</v>
      </c>
      <c r="O36" s="81"/>
      <c r="P36" s="82"/>
      <c r="Q36" s="123"/>
    </row>
    <row r="37" spans="1:17" s="136" customFormat="1" ht="18" customHeight="1" thickBot="1" x14ac:dyDescent="0.3">
      <c r="A37" s="131"/>
      <c r="B37" s="84" t="s">
        <v>582</v>
      </c>
      <c r="C37" s="76">
        <v>11</v>
      </c>
      <c r="D37" s="178">
        <v>15</v>
      </c>
      <c r="E37" s="76">
        <v>100</v>
      </c>
      <c r="F37" s="178">
        <v>20</v>
      </c>
      <c r="G37" s="92">
        <v>150</v>
      </c>
      <c r="H37" s="259"/>
      <c r="I37" s="236"/>
      <c r="J37" s="254"/>
      <c r="K37" s="107" t="s">
        <v>28</v>
      </c>
      <c r="L37" s="114"/>
      <c r="M37" s="76" t="s">
        <v>556</v>
      </c>
      <c r="N37" s="81">
        <v>2900</v>
      </c>
      <c r="O37" s="81"/>
      <c r="P37" s="82"/>
      <c r="Q37" s="123"/>
    </row>
    <row r="38" spans="1:17" s="136" customFormat="1" ht="18" customHeight="1" thickBot="1" x14ac:dyDescent="0.3">
      <c r="A38" s="131"/>
      <c r="B38" s="84" t="s">
        <v>583</v>
      </c>
      <c r="C38" s="76">
        <v>11</v>
      </c>
      <c r="D38" s="178">
        <v>15</v>
      </c>
      <c r="E38" s="76">
        <v>180</v>
      </c>
      <c r="F38" s="178">
        <v>11</v>
      </c>
      <c r="G38" s="92">
        <v>200</v>
      </c>
      <c r="H38" s="259"/>
      <c r="I38" s="236"/>
      <c r="J38" s="254"/>
      <c r="K38" s="107" t="s">
        <v>28</v>
      </c>
      <c r="L38" s="114"/>
      <c r="M38" s="76" t="s">
        <v>556</v>
      </c>
      <c r="N38" s="81">
        <v>2900</v>
      </c>
      <c r="O38" s="81"/>
      <c r="P38" s="82"/>
      <c r="Q38" s="123"/>
    </row>
    <row r="39" spans="1:17" s="136" customFormat="1" ht="18" customHeight="1" thickBot="1" x14ac:dyDescent="0.3">
      <c r="A39" s="131"/>
      <c r="B39" s="84" t="s">
        <v>584</v>
      </c>
      <c r="C39" s="76">
        <v>15</v>
      </c>
      <c r="D39" s="178">
        <v>20</v>
      </c>
      <c r="E39" s="76">
        <v>60</v>
      </c>
      <c r="F39" s="178">
        <v>40</v>
      </c>
      <c r="G39" s="92">
        <v>80</v>
      </c>
      <c r="H39" s="259"/>
      <c r="I39" s="236"/>
      <c r="J39" s="254"/>
      <c r="K39" s="107" t="s">
        <v>28</v>
      </c>
      <c r="L39" s="114"/>
      <c r="M39" s="76" t="s">
        <v>556</v>
      </c>
      <c r="N39" s="81">
        <v>2900</v>
      </c>
      <c r="O39" s="81"/>
      <c r="P39" s="82"/>
      <c r="Q39" s="123"/>
    </row>
    <row r="40" spans="1:17" s="136" customFormat="1" ht="18" customHeight="1" thickBot="1" x14ac:dyDescent="0.3">
      <c r="A40" s="131"/>
      <c r="B40" s="29" t="s">
        <v>585</v>
      </c>
      <c r="C40" s="76">
        <v>15</v>
      </c>
      <c r="D40" s="178">
        <v>20</v>
      </c>
      <c r="E40" s="76">
        <v>100</v>
      </c>
      <c r="F40" s="178">
        <v>30</v>
      </c>
      <c r="G40" s="92">
        <v>100</v>
      </c>
      <c r="H40" s="259"/>
      <c r="I40" s="236"/>
      <c r="J40" s="254">
        <v>100601457</v>
      </c>
      <c r="K40" s="166">
        <v>4434.7968000000001</v>
      </c>
      <c r="L40" s="33">
        <v>4688.7968000000001</v>
      </c>
      <c r="M40" s="76" t="s">
        <v>556</v>
      </c>
      <c r="N40" s="81">
        <v>2900</v>
      </c>
      <c r="O40" s="81"/>
      <c r="P40" s="82"/>
      <c r="Q40" s="123"/>
    </row>
    <row r="41" spans="1:17" s="136" customFormat="1" ht="18" customHeight="1" thickBot="1" x14ac:dyDescent="0.3">
      <c r="A41" s="131"/>
      <c r="B41" s="84" t="s">
        <v>586</v>
      </c>
      <c r="C41" s="76">
        <v>15</v>
      </c>
      <c r="D41" s="178">
        <v>20</v>
      </c>
      <c r="E41" s="76">
        <v>120</v>
      </c>
      <c r="F41" s="178">
        <v>25</v>
      </c>
      <c r="G41" s="92">
        <v>150</v>
      </c>
      <c r="H41" s="259"/>
      <c r="I41" s="236"/>
      <c r="J41" s="254"/>
      <c r="K41" s="107" t="s">
        <v>28</v>
      </c>
      <c r="L41" s="114"/>
      <c r="M41" s="76" t="s">
        <v>556</v>
      </c>
      <c r="N41" s="81">
        <v>2900</v>
      </c>
      <c r="O41" s="81"/>
      <c r="P41" s="82"/>
      <c r="Q41" s="123"/>
    </row>
    <row r="42" spans="1:17" s="136" customFormat="1" ht="18" customHeight="1" thickBot="1" x14ac:dyDescent="0.3">
      <c r="A42" s="131"/>
      <c r="B42" s="84" t="s">
        <v>587</v>
      </c>
      <c r="C42" s="76">
        <v>15</v>
      </c>
      <c r="D42" s="178">
        <v>20</v>
      </c>
      <c r="E42" s="76">
        <v>180</v>
      </c>
      <c r="F42" s="178">
        <v>15</v>
      </c>
      <c r="G42" s="92">
        <v>200</v>
      </c>
      <c r="H42" s="259"/>
      <c r="I42" s="236"/>
      <c r="J42" s="254"/>
      <c r="K42" s="107" t="s">
        <v>28</v>
      </c>
      <c r="L42" s="114"/>
      <c r="M42" s="76" t="s">
        <v>556</v>
      </c>
      <c r="N42" s="81">
        <v>2900</v>
      </c>
      <c r="O42" s="81"/>
      <c r="P42" s="82"/>
      <c r="Q42" s="123"/>
    </row>
    <row r="43" spans="1:17" s="136" customFormat="1" ht="18" customHeight="1" thickBot="1" x14ac:dyDescent="0.3">
      <c r="A43" s="131"/>
      <c r="B43" s="84" t="s">
        <v>588</v>
      </c>
      <c r="C43" s="76">
        <v>18.5</v>
      </c>
      <c r="D43" s="178">
        <v>25</v>
      </c>
      <c r="E43" s="76">
        <v>60</v>
      </c>
      <c r="F43" s="178">
        <v>45</v>
      </c>
      <c r="G43" s="92">
        <v>80</v>
      </c>
      <c r="H43" s="259"/>
      <c r="I43" s="236"/>
      <c r="J43" s="254"/>
      <c r="K43" s="107" t="s">
        <v>28</v>
      </c>
      <c r="L43" s="114"/>
      <c r="M43" s="76" t="s">
        <v>556</v>
      </c>
      <c r="N43" s="81">
        <v>2900</v>
      </c>
      <c r="O43" s="81"/>
      <c r="P43" s="82"/>
      <c r="Q43" s="123"/>
    </row>
    <row r="44" spans="1:17" s="136" customFormat="1" ht="18" customHeight="1" thickBot="1" x14ac:dyDescent="0.3">
      <c r="A44" s="131"/>
      <c r="B44" s="84" t="s">
        <v>589</v>
      </c>
      <c r="C44" s="76">
        <v>18.5</v>
      </c>
      <c r="D44" s="178">
        <v>25</v>
      </c>
      <c r="E44" s="76">
        <v>80</v>
      </c>
      <c r="F44" s="178">
        <v>40</v>
      </c>
      <c r="G44" s="92">
        <v>100</v>
      </c>
      <c r="H44" s="259"/>
      <c r="I44" s="236"/>
      <c r="J44" s="254"/>
      <c r="K44" s="107" t="s">
        <v>28</v>
      </c>
      <c r="L44" s="114"/>
      <c r="M44" s="76" t="s">
        <v>556</v>
      </c>
      <c r="N44" s="81">
        <v>2900</v>
      </c>
      <c r="O44" s="81"/>
      <c r="P44" s="82"/>
      <c r="Q44" s="123"/>
    </row>
    <row r="45" spans="1:17" s="136" customFormat="1" ht="18" customHeight="1" thickBot="1" x14ac:dyDescent="0.3">
      <c r="A45" s="131"/>
      <c r="B45" s="84" t="s">
        <v>590</v>
      </c>
      <c r="C45" s="76">
        <v>18.5</v>
      </c>
      <c r="D45" s="178">
        <v>25</v>
      </c>
      <c r="E45" s="76">
        <v>100</v>
      </c>
      <c r="F45" s="178">
        <v>36</v>
      </c>
      <c r="G45" s="92">
        <v>150</v>
      </c>
      <c r="H45" s="259"/>
      <c r="I45" s="236"/>
      <c r="J45" s="254"/>
      <c r="K45" s="107" t="s">
        <v>28</v>
      </c>
      <c r="L45" s="114"/>
      <c r="M45" s="76" t="s">
        <v>556</v>
      </c>
      <c r="N45" s="81">
        <v>2900</v>
      </c>
      <c r="O45" s="81"/>
      <c r="P45" s="82"/>
      <c r="Q45" s="123"/>
    </row>
    <row r="46" spans="1:17" s="136" customFormat="1" ht="18" customHeight="1" thickBot="1" x14ac:dyDescent="0.3">
      <c r="A46" s="131"/>
      <c r="B46" s="84" t="s">
        <v>591</v>
      </c>
      <c r="C46" s="76">
        <v>18.5</v>
      </c>
      <c r="D46" s="178">
        <v>25</v>
      </c>
      <c r="E46" s="76">
        <v>180</v>
      </c>
      <c r="F46" s="178">
        <v>18</v>
      </c>
      <c r="G46" s="92">
        <v>200</v>
      </c>
      <c r="H46" s="259"/>
      <c r="I46" s="236"/>
      <c r="J46" s="254"/>
      <c r="K46" s="107" t="s">
        <v>28</v>
      </c>
      <c r="L46" s="114"/>
      <c r="M46" s="76" t="s">
        <v>556</v>
      </c>
      <c r="N46" s="81">
        <v>2900</v>
      </c>
      <c r="O46" s="81"/>
      <c r="P46" s="82"/>
      <c r="Q46" s="123"/>
    </row>
    <row r="47" spans="1:17" s="136" customFormat="1" ht="18" customHeight="1" thickBot="1" x14ac:dyDescent="0.3">
      <c r="A47" s="131"/>
      <c r="B47" s="84" t="s">
        <v>592</v>
      </c>
      <c r="C47" s="76">
        <v>22</v>
      </c>
      <c r="D47" s="178">
        <v>30</v>
      </c>
      <c r="E47" s="76">
        <v>60</v>
      </c>
      <c r="F47" s="178">
        <v>50</v>
      </c>
      <c r="G47" s="92">
        <v>80</v>
      </c>
      <c r="H47" s="259"/>
      <c r="I47" s="236"/>
      <c r="J47" s="254"/>
      <c r="K47" s="107" t="s">
        <v>28</v>
      </c>
      <c r="L47" s="114"/>
      <c r="M47" s="76" t="s">
        <v>556</v>
      </c>
      <c r="N47" s="81">
        <v>2900</v>
      </c>
      <c r="O47" s="81"/>
      <c r="P47" s="82"/>
      <c r="Q47" s="123"/>
    </row>
    <row r="48" spans="1:17" s="136" customFormat="1" ht="18" customHeight="1" thickBot="1" x14ac:dyDescent="0.3">
      <c r="A48" s="131"/>
      <c r="B48" s="84" t="s">
        <v>593</v>
      </c>
      <c r="C48" s="76">
        <v>22</v>
      </c>
      <c r="D48" s="178">
        <v>30</v>
      </c>
      <c r="E48" s="76">
        <v>80</v>
      </c>
      <c r="F48" s="178">
        <v>45</v>
      </c>
      <c r="G48" s="92">
        <v>100</v>
      </c>
      <c r="H48" s="259"/>
      <c r="I48" s="236"/>
      <c r="J48" s="254"/>
      <c r="K48" s="107" t="s">
        <v>28</v>
      </c>
      <c r="L48" s="114"/>
      <c r="M48" s="76" t="s">
        <v>556</v>
      </c>
      <c r="N48" s="81">
        <v>2900</v>
      </c>
      <c r="O48" s="81"/>
      <c r="P48" s="82"/>
      <c r="Q48" s="123"/>
    </row>
    <row r="49" spans="1:17" s="136" customFormat="1" ht="18" customHeight="1" thickBot="1" x14ac:dyDescent="0.3">
      <c r="A49" s="131"/>
      <c r="B49" s="84" t="s">
        <v>594</v>
      </c>
      <c r="C49" s="76">
        <v>22</v>
      </c>
      <c r="D49" s="178">
        <v>30</v>
      </c>
      <c r="E49" s="76">
        <v>100</v>
      </c>
      <c r="F49" s="178">
        <v>40</v>
      </c>
      <c r="G49" s="92">
        <v>150</v>
      </c>
      <c r="H49" s="259"/>
      <c r="I49" s="236"/>
      <c r="J49" s="254"/>
      <c r="K49" s="107" t="s">
        <v>28</v>
      </c>
      <c r="L49" s="114"/>
      <c r="M49" s="76" t="s">
        <v>556</v>
      </c>
      <c r="N49" s="81">
        <v>2900</v>
      </c>
      <c r="O49" s="81"/>
      <c r="P49" s="82"/>
      <c r="Q49" s="123"/>
    </row>
    <row r="50" spans="1:17" s="136" customFormat="1" ht="18" customHeight="1" thickBot="1" x14ac:dyDescent="0.3">
      <c r="A50" s="131"/>
      <c r="B50" s="84" t="s">
        <v>595</v>
      </c>
      <c r="C50" s="76">
        <v>22</v>
      </c>
      <c r="D50" s="178">
        <v>30</v>
      </c>
      <c r="E50" s="76">
        <v>200</v>
      </c>
      <c r="F50" s="178">
        <v>20</v>
      </c>
      <c r="G50" s="92">
        <v>200</v>
      </c>
      <c r="H50" s="259"/>
      <c r="I50" s="236"/>
      <c r="J50" s="254"/>
      <c r="K50" s="107" t="s">
        <v>28</v>
      </c>
      <c r="L50" s="114"/>
      <c r="M50" s="76" t="s">
        <v>556</v>
      </c>
      <c r="N50" s="81">
        <v>2900</v>
      </c>
      <c r="O50" s="81"/>
      <c r="P50" s="82"/>
      <c r="Q50" s="123"/>
    </row>
    <row r="51" spans="1:17" s="136" customFormat="1" ht="18" customHeight="1" thickBot="1" x14ac:dyDescent="0.3">
      <c r="A51" s="131"/>
      <c r="B51" s="84" t="s">
        <v>596</v>
      </c>
      <c r="C51" s="76">
        <v>11</v>
      </c>
      <c r="D51" s="178">
        <v>15</v>
      </c>
      <c r="E51" s="76">
        <v>80</v>
      </c>
      <c r="F51" s="178">
        <v>25</v>
      </c>
      <c r="G51" s="92">
        <v>80</v>
      </c>
      <c r="H51" s="259"/>
      <c r="I51" s="236"/>
      <c r="J51" s="254"/>
      <c r="K51" s="107" t="s">
        <v>28</v>
      </c>
      <c r="L51" s="114"/>
      <c r="M51" s="76" t="s">
        <v>597</v>
      </c>
      <c r="N51" s="81">
        <v>1450</v>
      </c>
      <c r="O51" s="81"/>
      <c r="P51" s="82"/>
      <c r="Q51" s="123"/>
    </row>
    <row r="52" spans="1:17" s="136" customFormat="1" ht="18" customHeight="1" thickBot="1" x14ac:dyDescent="0.3">
      <c r="B52" s="84" t="s">
        <v>598</v>
      </c>
      <c r="C52" s="76">
        <v>11</v>
      </c>
      <c r="D52" s="178">
        <v>15</v>
      </c>
      <c r="E52" s="76">
        <v>80</v>
      </c>
      <c r="F52" s="178">
        <v>25</v>
      </c>
      <c r="G52" s="92">
        <v>100</v>
      </c>
      <c r="H52" s="259"/>
      <c r="I52" s="236"/>
      <c r="J52" s="254"/>
      <c r="K52" s="85">
        <v>3437.1443494890436</v>
      </c>
      <c r="L52" s="41">
        <v>3691.1443494890436</v>
      </c>
      <c r="M52" s="76" t="s">
        <v>597</v>
      </c>
      <c r="N52" s="81">
        <v>1450</v>
      </c>
      <c r="O52" s="81">
        <v>187</v>
      </c>
      <c r="P52" s="82">
        <v>0.20966399999999999</v>
      </c>
      <c r="Q52" s="123"/>
    </row>
    <row r="53" spans="1:17" s="136" customFormat="1" ht="18" customHeight="1" thickBot="1" x14ac:dyDescent="0.3">
      <c r="A53" s="131"/>
      <c r="B53" s="29" t="s">
        <v>599</v>
      </c>
      <c r="C53" s="76">
        <v>11</v>
      </c>
      <c r="D53" s="178">
        <v>15</v>
      </c>
      <c r="E53" s="76">
        <v>150</v>
      </c>
      <c r="F53" s="178">
        <v>15</v>
      </c>
      <c r="G53" s="92">
        <v>150</v>
      </c>
      <c r="H53" s="259"/>
      <c r="I53" s="236"/>
      <c r="J53" s="254">
        <v>100601459</v>
      </c>
      <c r="K53" s="166">
        <v>3500</v>
      </c>
      <c r="L53" s="33">
        <v>4144</v>
      </c>
      <c r="M53" s="76" t="s">
        <v>597</v>
      </c>
      <c r="N53" s="81">
        <v>1450</v>
      </c>
      <c r="O53" s="81">
        <v>201</v>
      </c>
      <c r="P53" s="82">
        <v>0.220584</v>
      </c>
      <c r="Q53" s="123"/>
    </row>
    <row r="54" spans="1:17" s="136" customFormat="1" ht="18" customHeight="1" thickBot="1" x14ac:dyDescent="0.3">
      <c r="A54" s="131"/>
      <c r="B54" s="84" t="s">
        <v>600</v>
      </c>
      <c r="C54" s="76">
        <v>11</v>
      </c>
      <c r="D54" s="178">
        <v>15</v>
      </c>
      <c r="E54" s="76">
        <v>180</v>
      </c>
      <c r="F54" s="178">
        <v>11</v>
      </c>
      <c r="G54" s="92">
        <v>200</v>
      </c>
      <c r="H54" s="259"/>
      <c r="I54" s="236"/>
      <c r="J54" s="254"/>
      <c r="K54" s="107" t="s">
        <v>28</v>
      </c>
      <c r="L54" s="114"/>
      <c r="M54" s="76" t="s">
        <v>597</v>
      </c>
      <c r="N54" s="81">
        <v>1450</v>
      </c>
      <c r="O54" s="81"/>
      <c r="P54" s="82"/>
      <c r="Q54" s="123"/>
    </row>
    <row r="55" spans="1:17" s="136" customFormat="1" ht="18" customHeight="1" thickBot="1" x14ac:dyDescent="0.3">
      <c r="A55" s="131"/>
      <c r="B55" s="29" t="s">
        <v>601</v>
      </c>
      <c r="C55" s="76">
        <v>15</v>
      </c>
      <c r="D55" s="178">
        <v>20</v>
      </c>
      <c r="E55" s="76">
        <v>80</v>
      </c>
      <c r="F55" s="178">
        <v>30</v>
      </c>
      <c r="G55" s="92">
        <v>80</v>
      </c>
      <c r="H55" s="259"/>
      <c r="I55" s="236"/>
      <c r="J55" s="254">
        <v>100602852</v>
      </c>
      <c r="K55" s="166">
        <v>3769.92</v>
      </c>
      <c r="L55" s="33">
        <v>3957.92</v>
      </c>
      <c r="M55" s="76" t="s">
        <v>597</v>
      </c>
      <c r="N55" s="81">
        <v>1450</v>
      </c>
      <c r="O55" s="81">
        <v>240</v>
      </c>
      <c r="P55" s="82">
        <v>0.29799999999999999</v>
      </c>
      <c r="Q55" s="123"/>
    </row>
    <row r="56" spans="1:17" s="136" customFormat="1" ht="18" customHeight="1" thickBot="1" x14ac:dyDescent="0.3">
      <c r="B56" s="29" t="s">
        <v>602</v>
      </c>
      <c r="C56" s="76">
        <v>15</v>
      </c>
      <c r="D56" s="178">
        <v>20</v>
      </c>
      <c r="E56" s="76">
        <v>80</v>
      </c>
      <c r="F56" s="178">
        <v>30</v>
      </c>
      <c r="G56" s="92">
        <v>100</v>
      </c>
      <c r="H56" s="259"/>
      <c r="I56" s="236"/>
      <c r="J56" s="254">
        <v>100601420</v>
      </c>
      <c r="K56" s="166">
        <v>3850</v>
      </c>
      <c r="L56" s="33">
        <v>4104</v>
      </c>
      <c r="M56" s="76" t="s">
        <v>597</v>
      </c>
      <c r="N56" s="81">
        <v>1450</v>
      </c>
      <c r="O56" s="81">
        <v>250</v>
      </c>
      <c r="P56" s="82">
        <v>0.29799999999999999</v>
      </c>
      <c r="Q56" s="123"/>
    </row>
    <row r="57" spans="1:17" s="136" customFormat="1" ht="18" customHeight="1" thickBot="1" x14ac:dyDescent="0.3">
      <c r="A57" s="131"/>
      <c r="B57" s="84" t="s">
        <v>603</v>
      </c>
      <c r="C57" s="76">
        <v>15</v>
      </c>
      <c r="D57" s="178">
        <v>20</v>
      </c>
      <c r="E57" s="76">
        <v>200</v>
      </c>
      <c r="F57" s="178">
        <v>15</v>
      </c>
      <c r="G57" s="92">
        <v>150</v>
      </c>
      <c r="H57" s="259"/>
      <c r="I57" s="236"/>
      <c r="J57" s="254"/>
      <c r="K57" s="85">
        <v>3903.1819698850272</v>
      </c>
      <c r="L57" s="41">
        <v>4547.1819698850268</v>
      </c>
      <c r="M57" s="76" t="s">
        <v>597</v>
      </c>
      <c r="N57" s="81">
        <v>1450</v>
      </c>
      <c r="O57" s="81">
        <v>222</v>
      </c>
      <c r="P57" s="82">
        <v>0.22932</v>
      </c>
      <c r="Q57" s="123"/>
    </row>
    <row r="58" spans="1:17" s="136" customFormat="1" ht="18" customHeight="1" thickBot="1" x14ac:dyDescent="0.3">
      <c r="A58" s="131"/>
      <c r="B58" s="84" t="s">
        <v>604</v>
      </c>
      <c r="C58" s="76">
        <v>15</v>
      </c>
      <c r="D58" s="178">
        <v>20</v>
      </c>
      <c r="E58" s="76">
        <v>250</v>
      </c>
      <c r="F58" s="178">
        <v>11</v>
      </c>
      <c r="G58" s="92">
        <v>200</v>
      </c>
      <c r="H58" s="259"/>
      <c r="I58" s="236"/>
      <c r="J58" s="254"/>
      <c r="K58" s="107" t="s">
        <v>28</v>
      </c>
      <c r="L58" s="114"/>
      <c r="M58" s="76" t="s">
        <v>597</v>
      </c>
      <c r="N58" s="81">
        <v>1450</v>
      </c>
      <c r="O58" s="81"/>
      <c r="P58" s="82"/>
      <c r="Q58" s="123"/>
    </row>
    <row r="59" spans="1:17" s="136" customFormat="1" ht="18" customHeight="1" thickBot="1" x14ac:dyDescent="0.3">
      <c r="A59" s="131"/>
      <c r="B59" s="84" t="s">
        <v>605</v>
      </c>
      <c r="C59" s="76">
        <v>18.5</v>
      </c>
      <c r="D59" s="178">
        <v>25</v>
      </c>
      <c r="E59" s="76">
        <v>250</v>
      </c>
      <c r="F59" s="178">
        <v>15</v>
      </c>
      <c r="G59" s="92">
        <v>150</v>
      </c>
      <c r="H59" s="259"/>
      <c r="I59" s="236"/>
      <c r="J59" s="254"/>
      <c r="K59" s="85">
        <v>5068.1201554501049</v>
      </c>
      <c r="L59" s="41">
        <v>5712.1201554501049</v>
      </c>
      <c r="M59" s="76" t="s">
        <v>597</v>
      </c>
      <c r="N59" s="81">
        <v>1450</v>
      </c>
      <c r="O59" s="81">
        <v>286</v>
      </c>
      <c r="P59" s="82">
        <v>0.31463999999999998</v>
      </c>
      <c r="Q59" s="123"/>
    </row>
    <row r="60" spans="1:17" s="136" customFormat="1" ht="18" customHeight="1" thickBot="1" x14ac:dyDescent="0.3">
      <c r="A60" s="131"/>
      <c r="B60" s="84" t="s">
        <v>606</v>
      </c>
      <c r="C60" s="76">
        <v>18.5</v>
      </c>
      <c r="D60" s="178">
        <v>25</v>
      </c>
      <c r="E60" s="76">
        <v>350</v>
      </c>
      <c r="F60" s="178">
        <v>12</v>
      </c>
      <c r="G60" s="92">
        <v>200</v>
      </c>
      <c r="H60" s="259"/>
      <c r="I60" s="236"/>
      <c r="J60" s="254"/>
      <c r="K60" s="85">
        <v>5184.7074932615415</v>
      </c>
      <c r="L60" s="41">
        <v>6279.7074932615415</v>
      </c>
      <c r="M60" s="76" t="s">
        <v>597</v>
      </c>
      <c r="N60" s="81">
        <v>1450</v>
      </c>
      <c r="O60" s="81">
        <v>294</v>
      </c>
      <c r="P60" s="82">
        <v>0.31463999999999998</v>
      </c>
      <c r="Q60" s="123"/>
    </row>
    <row r="61" spans="1:17" s="136" customFormat="1" ht="18" customHeight="1" thickBot="1" x14ac:dyDescent="0.3">
      <c r="A61" s="131"/>
      <c r="B61" s="84" t="s">
        <v>607</v>
      </c>
      <c r="C61" s="76">
        <v>22</v>
      </c>
      <c r="D61" s="178">
        <v>30</v>
      </c>
      <c r="E61" s="76">
        <v>300</v>
      </c>
      <c r="F61" s="178">
        <v>15</v>
      </c>
      <c r="G61" s="92">
        <v>150</v>
      </c>
      <c r="H61" s="259"/>
      <c r="I61" s="236"/>
      <c r="J61" s="254"/>
      <c r="K61" s="85">
        <v>5243.001162167262</v>
      </c>
      <c r="L61" s="41">
        <v>5887.001162167262</v>
      </c>
      <c r="M61" s="76" t="s">
        <v>597</v>
      </c>
      <c r="N61" s="81">
        <v>1450</v>
      </c>
      <c r="O61" s="81">
        <v>307</v>
      </c>
      <c r="P61" s="82">
        <v>0.31349999999999995</v>
      </c>
      <c r="Q61" s="123"/>
    </row>
    <row r="62" spans="1:17" s="136" customFormat="1" ht="18" customHeight="1" thickBot="1" x14ac:dyDescent="0.3">
      <c r="A62" s="131"/>
      <c r="B62" s="84" t="s">
        <v>608</v>
      </c>
      <c r="C62" s="76">
        <v>22</v>
      </c>
      <c r="D62" s="178">
        <v>30</v>
      </c>
      <c r="E62" s="76">
        <v>400</v>
      </c>
      <c r="F62" s="178">
        <v>10</v>
      </c>
      <c r="G62" s="92">
        <v>200</v>
      </c>
      <c r="H62" s="259"/>
      <c r="I62" s="236"/>
      <c r="J62" s="254"/>
      <c r="K62" s="85">
        <v>5359.2767691289355</v>
      </c>
      <c r="L62" s="41">
        <v>6454.2767691289355</v>
      </c>
      <c r="M62" s="76" t="s">
        <v>597</v>
      </c>
      <c r="N62" s="81">
        <v>1450</v>
      </c>
      <c r="O62" s="81">
        <v>324</v>
      </c>
      <c r="P62" s="82">
        <v>0.31463999999999998</v>
      </c>
      <c r="Q62" s="123"/>
    </row>
    <row r="63" spans="1:17" s="136" customFormat="1" ht="18" customHeight="1" thickBot="1" x14ac:dyDescent="0.3">
      <c r="A63" s="131"/>
      <c r="B63" s="84" t="s">
        <v>609</v>
      </c>
      <c r="C63" s="76">
        <v>30</v>
      </c>
      <c r="D63" s="178">
        <v>40</v>
      </c>
      <c r="E63" s="76">
        <v>350</v>
      </c>
      <c r="F63" s="178">
        <v>15</v>
      </c>
      <c r="G63" s="92">
        <v>200</v>
      </c>
      <c r="H63" s="259"/>
      <c r="I63" s="236"/>
      <c r="J63" s="254"/>
      <c r="K63" s="85">
        <v>7747.7585400145745</v>
      </c>
      <c r="L63" s="41">
        <v>8842.7585400145745</v>
      </c>
      <c r="M63" s="76" t="s">
        <v>597</v>
      </c>
      <c r="N63" s="81">
        <v>1450</v>
      </c>
      <c r="O63" s="81">
        <v>440</v>
      </c>
      <c r="P63" s="82">
        <v>0.51556500000000005</v>
      </c>
      <c r="Q63" s="123"/>
    </row>
    <row r="64" spans="1:17" s="152" customFormat="1" ht="15.95" customHeight="1" thickBot="1" x14ac:dyDescent="0.3">
      <c r="A64" s="153"/>
      <c r="B64" s="84" t="s">
        <v>610</v>
      </c>
      <c r="C64" s="76">
        <v>30</v>
      </c>
      <c r="D64" s="178">
        <v>40</v>
      </c>
      <c r="E64" s="76">
        <v>600</v>
      </c>
      <c r="F64" s="178">
        <v>10</v>
      </c>
      <c r="G64" s="92">
        <v>250</v>
      </c>
      <c r="H64" s="259"/>
      <c r="I64" s="236"/>
      <c r="J64" s="254"/>
      <c r="K64" s="85">
        <v>7922.9512775814901</v>
      </c>
      <c r="L64" s="41">
        <v>9103.951277581491</v>
      </c>
      <c r="M64" s="76" t="s">
        <v>597</v>
      </c>
      <c r="N64" s="81">
        <v>1450</v>
      </c>
      <c r="O64" s="81">
        <v>440</v>
      </c>
      <c r="P64" s="82">
        <v>0.56279999999999997</v>
      </c>
      <c r="Q64" s="123"/>
    </row>
    <row r="65" spans="1:17" s="152" customFormat="1" ht="15.95" customHeight="1" thickBot="1" x14ac:dyDescent="0.3">
      <c r="A65" s="153"/>
      <c r="B65" s="84" t="s">
        <v>611</v>
      </c>
      <c r="C65" s="76">
        <v>30</v>
      </c>
      <c r="D65" s="178">
        <v>40</v>
      </c>
      <c r="E65" s="76">
        <v>600</v>
      </c>
      <c r="F65" s="178">
        <v>10</v>
      </c>
      <c r="G65" s="92">
        <v>300</v>
      </c>
      <c r="H65" s="259"/>
      <c r="I65" s="236"/>
      <c r="J65" s="254"/>
      <c r="K65" s="107" t="s">
        <v>28</v>
      </c>
      <c r="L65" s="114"/>
      <c r="M65" s="76" t="s">
        <v>597</v>
      </c>
      <c r="N65" s="81">
        <v>1450</v>
      </c>
      <c r="O65" s="81"/>
      <c r="P65" s="82"/>
      <c r="Q65" s="123"/>
    </row>
    <row r="66" spans="1:17" s="152" customFormat="1" ht="8.25" customHeight="1" thickBot="1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23"/>
    </row>
    <row r="67" spans="1:17" s="152" customFormat="1" ht="15" customHeight="1" x14ac:dyDescent="0.25">
      <c r="A67" s="153"/>
      <c r="B67" s="380" t="s">
        <v>32</v>
      </c>
      <c r="C67" s="381"/>
      <c r="D67" s="44" t="s">
        <v>1311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123"/>
    </row>
    <row r="68" spans="1:17" s="152" customFormat="1" ht="15" customHeight="1" x14ac:dyDescent="0.25">
      <c r="A68" s="153"/>
      <c r="B68" s="366" t="s">
        <v>34</v>
      </c>
      <c r="C68" s="377"/>
      <c r="D68" s="50" t="s">
        <v>1312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123"/>
    </row>
    <row r="69" spans="1:17" s="152" customFormat="1" ht="15" customHeight="1" x14ac:dyDescent="0.25">
      <c r="A69" s="153"/>
      <c r="B69" s="366" t="s">
        <v>6</v>
      </c>
      <c r="C69" s="377"/>
      <c r="D69" s="50" t="s">
        <v>1322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123"/>
    </row>
    <row r="70" spans="1:17" s="152" customFormat="1" ht="15" customHeight="1" x14ac:dyDescent="0.25">
      <c r="A70" s="153"/>
      <c r="B70" s="366" t="s">
        <v>1313</v>
      </c>
      <c r="C70" s="377"/>
      <c r="D70" s="221" t="s">
        <v>1314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123"/>
    </row>
    <row r="71" spans="1:17" s="152" customFormat="1" ht="15" customHeight="1" x14ac:dyDescent="0.25">
      <c r="A71" s="153"/>
      <c r="B71" s="366" t="s">
        <v>1315</v>
      </c>
      <c r="C71" s="377"/>
      <c r="D71" s="55" t="s">
        <v>1316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123"/>
    </row>
    <row r="72" spans="1:17" s="152" customFormat="1" ht="15" customHeight="1" x14ac:dyDescent="0.25">
      <c r="A72" s="153"/>
      <c r="B72" s="366" t="s">
        <v>1300</v>
      </c>
      <c r="C72" s="377"/>
      <c r="D72" s="288" t="s">
        <v>1317</v>
      </c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123"/>
    </row>
    <row r="73" spans="1:17" s="152" customFormat="1" ht="15" customHeight="1" x14ac:dyDescent="0.25">
      <c r="A73" s="153"/>
      <c r="B73" s="366" t="s">
        <v>1318</v>
      </c>
      <c r="C73" s="377"/>
      <c r="D73" s="288" t="s">
        <v>1319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123"/>
    </row>
    <row r="74" spans="1:17" s="152" customFormat="1" ht="15" customHeight="1" x14ac:dyDescent="0.25">
      <c r="A74" s="153"/>
      <c r="B74" s="378" t="s">
        <v>1320</v>
      </c>
      <c r="C74" s="379"/>
      <c r="D74" s="290" t="s">
        <v>1321</v>
      </c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123"/>
    </row>
  </sheetData>
  <mergeCells count="18">
    <mergeCell ref="B6:P6"/>
    <mergeCell ref="B8:B10"/>
    <mergeCell ref="M8:M10"/>
    <mergeCell ref="N8:N9"/>
    <mergeCell ref="B67:C67"/>
    <mergeCell ref="C8:D9"/>
    <mergeCell ref="E8:F8"/>
    <mergeCell ref="E9:F9"/>
    <mergeCell ref="H9:I9"/>
    <mergeCell ref="J9:K9"/>
    <mergeCell ref="H8:L8"/>
    <mergeCell ref="B74:C74"/>
    <mergeCell ref="B69:C69"/>
    <mergeCell ref="B68:C68"/>
    <mergeCell ref="B70:C70"/>
    <mergeCell ref="B71:C71"/>
    <mergeCell ref="B72:C72"/>
    <mergeCell ref="B73:C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PSTG</vt:lpstr>
      <vt:lpstr>PT</vt:lpstr>
      <vt:lpstr>PTD</vt:lpstr>
      <vt:lpstr>PVT(S)</vt:lpstr>
      <vt:lpstr>PZ</vt:lpstr>
      <vt:lpstr>PXZ</vt:lpstr>
      <vt:lpstr>PZWM</vt:lpstr>
      <vt:lpstr>WQ-A, WQ</vt:lpstr>
      <vt:lpstr>WQ-GQ, WQV</vt:lpstr>
      <vt:lpstr>PST4</vt:lpstr>
      <vt:lpstr>PS(M)</vt:lpstr>
      <vt:lpstr>PC</vt:lpstr>
      <vt:lpstr>P2C</vt:lpstr>
      <vt:lpstr>PSTF</vt:lpstr>
      <vt:lpstr>АТМ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ЯШИН Александр</dc:creator>
  <cp:lastModifiedBy>ЯШИН Александр</cp:lastModifiedBy>
  <dcterms:created xsi:type="dcterms:W3CDTF">2025-06-16T06:12:24Z</dcterms:created>
  <dcterms:modified xsi:type="dcterms:W3CDTF">2026-03-31T09:22:30Z</dcterms:modified>
</cp:coreProperties>
</file>